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eLivro" defaultThemeVersion="164011"/>
  <mc:AlternateContent xmlns:mc="http://schemas.openxmlformats.org/markup-compatibility/2006">
    <mc:Choice Requires="x15">
      <x15ac:absPath xmlns:x15ac="http://schemas.microsoft.com/office/spreadsheetml/2010/11/ac" url="C:\Users\sarac\MEOCloud\Improvisatalentos\Despesas\2025\"/>
    </mc:Choice>
  </mc:AlternateContent>
  <bookViews>
    <workbookView xWindow="-110" yWindow="-110" windowWidth="19420" windowHeight="10300" activeTab="1"/>
  </bookViews>
  <sheets>
    <sheet name="Folha1" sheetId="6" r:id="rId1"/>
    <sheet name="REGISTO_2025" sheetId="1" r:id="rId2"/>
    <sheet name="AUXILIAR" sheetId="2" state="hidden" r:id="rId3"/>
    <sheet name="APURAMENTOS" sheetId="5" r:id="rId4"/>
  </sheets>
  <definedNames>
    <definedName name="_xlnm._FilterDatabase" localSheetId="2" hidden="1">AUXILIAR!$C$2:$E$56</definedName>
    <definedName name="_xlnm._FilterDatabase" localSheetId="1" hidden="1">REGISTO_2025!$A$4:$O$92</definedName>
  </definedNames>
  <calcPr calcId="162913"/>
  <pivotCaches>
    <pivotCache cacheId="5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E3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N93" i="1"/>
  <c r="O93" i="1"/>
  <c r="J18" i="5" l="1"/>
  <c r="J17" i="5"/>
  <c r="J16" i="5"/>
  <c r="J14" i="5"/>
  <c r="J13" i="5"/>
  <c r="J12" i="5"/>
  <c r="J10" i="5"/>
  <c r="J9" i="5"/>
  <c r="J8" i="5"/>
  <c r="J6" i="5"/>
  <c r="J5" i="5"/>
  <c r="J4" i="5"/>
  <c r="J15" i="5" l="1"/>
  <c r="J19" i="5"/>
  <c r="J7" i="5"/>
  <c r="J11" i="5"/>
  <c r="M6" i="5"/>
  <c r="M5" i="5"/>
  <c r="M4" i="5"/>
  <c r="L6" i="5"/>
  <c r="L5" i="5"/>
  <c r="L4" i="5"/>
  <c r="F84" i="1"/>
  <c r="N61" i="1" l="1"/>
  <c r="O61" i="1"/>
  <c r="F73" i="1"/>
  <c r="B18" i="5" l="1"/>
  <c r="B17" i="5"/>
  <c r="B16" i="5"/>
  <c r="F60" i="1"/>
  <c r="F53" i="1" l="1"/>
  <c r="F25" i="1" l="1"/>
  <c r="F24" i="1"/>
  <c r="F3" i="1" s="1"/>
  <c r="M18" i="5" l="1"/>
  <c r="L18" i="5"/>
  <c r="C18" i="5"/>
  <c r="M17" i="5"/>
  <c r="L17" i="5"/>
  <c r="C17" i="5"/>
  <c r="M16" i="5"/>
  <c r="L16" i="5"/>
  <c r="C16" i="5"/>
  <c r="M14" i="5"/>
  <c r="L14" i="5"/>
  <c r="M13" i="5"/>
  <c r="L13" i="5"/>
  <c r="M12" i="5"/>
  <c r="L12" i="5"/>
  <c r="M10" i="5"/>
  <c r="L10" i="5"/>
  <c r="M9" i="5"/>
  <c r="L9" i="5"/>
  <c r="M8" i="5"/>
  <c r="L8" i="5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B14" i="5" l="1"/>
  <c r="C14" i="5"/>
  <c r="L21" i="5"/>
  <c r="M21" i="5"/>
  <c r="C13" i="5"/>
  <c r="B13" i="5"/>
  <c r="B9" i="5"/>
  <c r="C12" i="5"/>
  <c r="B12" i="5"/>
  <c r="B10" i="5"/>
  <c r="C10" i="5"/>
  <c r="C9" i="5"/>
  <c r="B8" i="5"/>
  <c r="C8" i="5"/>
  <c r="B6" i="5"/>
  <c r="C6" i="5"/>
  <c r="C4" i="5"/>
  <c r="B4" i="5"/>
  <c r="B5" i="5"/>
  <c r="C5" i="5"/>
  <c r="F21" i="5" l="1"/>
  <c r="E6" i="5" l="1"/>
  <c r="E12" i="5"/>
  <c r="E9" i="5"/>
  <c r="E10" i="5"/>
  <c r="E13" i="5"/>
  <c r="E16" i="5"/>
  <c r="E17" i="5"/>
  <c r="E8" i="5"/>
  <c r="E18" i="5"/>
  <c r="E14" i="5"/>
  <c r="E11" i="5" l="1"/>
  <c r="H11" i="5" s="1"/>
  <c r="E19" i="5"/>
  <c r="E15" i="5"/>
  <c r="H15" i="5" s="1"/>
  <c r="E5" i="5"/>
  <c r="E4" i="5"/>
  <c r="H19" i="5" l="1"/>
  <c r="E7" i="5"/>
  <c r="H7" i="5" s="1"/>
  <c r="E21" i="5" l="1"/>
</calcChain>
</file>

<file path=xl/sharedStrings.xml><?xml version="1.0" encoding="utf-8"?>
<sst xmlns="http://schemas.openxmlformats.org/spreadsheetml/2006/main" count="606" uniqueCount="320">
  <si>
    <t>Tipo de Despesa</t>
  </si>
  <si>
    <t>Pagamento de Comissões Bancárias</t>
  </si>
  <si>
    <t>Remunerações - Pessoal</t>
  </si>
  <si>
    <t>Remunerações - Orgaos Sociais</t>
  </si>
  <si>
    <t>Despesas de representação</t>
  </si>
  <si>
    <t>Entidade</t>
  </si>
  <si>
    <t>Descritivo</t>
  </si>
  <si>
    <t>Subsidio de Refeição</t>
  </si>
  <si>
    <t>REGISTO DE MOVIMENTOS FINANCEIROS
NIGRA &amp; ALEXANDRE, LDª</t>
  </si>
  <si>
    <t>Data documento</t>
  </si>
  <si>
    <t>Nº Documento</t>
  </si>
  <si>
    <t>Receita</t>
  </si>
  <si>
    <t>Despesa</t>
  </si>
  <si>
    <t>IVA</t>
  </si>
  <si>
    <t>TAXA IVA</t>
  </si>
  <si>
    <t>Retenção na Fonte</t>
  </si>
  <si>
    <t>Segurança Social</t>
  </si>
  <si>
    <t>Banco</t>
  </si>
  <si>
    <t>Data Movimento Bancário</t>
  </si>
  <si>
    <t>IVA A RECEBER</t>
  </si>
  <si>
    <t>IVA A PAGAR</t>
  </si>
  <si>
    <t>Despesas correntes</t>
  </si>
  <si>
    <t>Despesas da Loja</t>
  </si>
  <si>
    <t>Formação</t>
  </si>
  <si>
    <t>Suprimentos</t>
  </si>
  <si>
    <t>Departamento de Expansão</t>
  </si>
  <si>
    <t>Departamento Jurídico</t>
  </si>
  <si>
    <t>Royalties e Fundo Publicidade</t>
  </si>
  <si>
    <t>Rendas - Pagamentos</t>
  </si>
  <si>
    <t>Marketing</t>
  </si>
  <si>
    <t>Eventos</t>
  </si>
  <si>
    <t>Recebimento de Comissões</t>
  </si>
  <si>
    <t>Publicidade Loja</t>
  </si>
  <si>
    <t>Encargos Financeiro - Empréstimos</t>
  </si>
  <si>
    <t>Pagamento de Comissões Consultores</t>
  </si>
  <si>
    <t>Ofertas</t>
  </si>
  <si>
    <t>Aluguer e Leasing de equipamentos administrativos</t>
  </si>
  <si>
    <t>Contribuições para Segurança Social</t>
  </si>
  <si>
    <t>Pagamentos ao Estado</t>
  </si>
  <si>
    <t xml:space="preserve">Outsourcing </t>
  </si>
  <si>
    <t>Publicidade Pessoal</t>
  </si>
  <si>
    <t>Organização de eventos</t>
  </si>
  <si>
    <t>Despesas bancárias</t>
  </si>
  <si>
    <t>Transferências de verbas entre contas</t>
  </si>
  <si>
    <t>Inscrições e participação em eventos</t>
  </si>
  <si>
    <t>Departamento Intermediação de Crédito</t>
  </si>
  <si>
    <t>Departamento Comercial</t>
  </si>
  <si>
    <t>Seguros de Acidentes no Trabalho e Doenças Profissionais</t>
  </si>
  <si>
    <t>Recebimento de Comissões Bancárias</t>
  </si>
  <si>
    <t>Departamento Informática</t>
  </si>
  <si>
    <t>Vestuário</t>
  </si>
  <si>
    <t>Pagamento de Comissões Internas</t>
  </si>
  <si>
    <t>Publicidade para recrutamento</t>
  </si>
  <si>
    <t>Operações tesouraria</t>
  </si>
  <si>
    <t>Migração de consultores</t>
  </si>
  <si>
    <t>Deslocações em viatura própria</t>
  </si>
  <si>
    <t>Despesa Obras</t>
  </si>
  <si>
    <t>Seguros de Intermediação de Crédito</t>
  </si>
  <si>
    <t>Pagamento de Comissões Externas</t>
  </si>
  <si>
    <t>Reembolso</t>
  </si>
  <si>
    <t>BANCOS</t>
  </si>
  <si>
    <t>TIPO MOVIMENTO</t>
  </si>
  <si>
    <t>CONSULTORES</t>
  </si>
  <si>
    <t>(Fotocopiadoras; Faxes)</t>
  </si>
  <si>
    <t>Comunicações de Loja</t>
  </si>
  <si>
    <t>(Telefones; Telemóveis; Internet; Outros)</t>
  </si>
  <si>
    <t>0300</t>
  </si>
  <si>
    <t>Coordenação</t>
  </si>
  <si>
    <t>Departamento de Marketing</t>
  </si>
  <si>
    <t>(Cópias;Encadernações, Vinis; Pedido de Certidões CML - IRN; Contrato Impressoras</t>
  </si>
  <si>
    <t>(EDP; EPAL; Limpeza)</t>
  </si>
  <si>
    <t>(Almoços; Ajudas de Custo; Quilometros - SÓCIAS</t>
  </si>
  <si>
    <t xml:space="preserve">(Pagamento de juros e comissões bancárias </t>
  </si>
  <si>
    <t>(Flyers; Aquisição de material publicitário direccionado)</t>
  </si>
  <si>
    <t>(Create 21; Outras formações)</t>
  </si>
  <si>
    <t>Indemnização por despedimento</t>
  </si>
  <si>
    <t>(Redes Sociais e pequenos trabalhos)</t>
  </si>
  <si>
    <t>Medicina no Trabalho</t>
  </si>
  <si>
    <t>(Ofertas a clientes, comerciais</t>
  </si>
  <si>
    <t>(Solicitadoria, contabilidade, ...)</t>
  </si>
  <si>
    <t>Prémios e Incentivos de Venda</t>
  </si>
  <si>
    <t>(Cartões de visita; Cartas de Apresentação; Flyers; Cópias; Placas)</t>
  </si>
  <si>
    <t>Reembolso por pagamentos em dinheiro</t>
  </si>
  <si>
    <t>Referências - Passadas</t>
  </si>
  <si>
    <t>Referências - Recebidas</t>
  </si>
  <si>
    <t>(Inclui Sub. Refeição; Quilometros, Sub. De Férias e de Natal)</t>
  </si>
  <si>
    <t>0703</t>
  </si>
  <si>
    <t>Seguros de Vida</t>
  </si>
  <si>
    <t>Seguros do Imóvel e do Mobiliário</t>
  </si>
  <si>
    <t>Seguros Profissionais (Responsabilidade Civil)</t>
  </si>
  <si>
    <t>(Pagamentos às sócias - Abatimento ao Capital Investido)</t>
  </si>
  <si>
    <t>APURAMENTO IVA (Aproximado)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</si>
  <si>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</si>
  <si>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</si>
  <si>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</si>
  <si>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</si>
  <si>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</si>
  <si>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</si>
  <si>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</si>
  <si>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</si>
  <si>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</si>
  <si>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</si>
  <si>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</si>
  <si>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</si>
  <si>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SIM</t>
  </si>
  <si>
    <t>INCA</t>
  </si>
  <si>
    <t>Gasóleo</t>
  </si>
  <si>
    <t>GALP</t>
  </si>
  <si>
    <t>Diversos</t>
  </si>
  <si>
    <t>MAKRO</t>
  </si>
  <si>
    <t>TOTAL 1º Trimestre</t>
  </si>
  <si>
    <t>TOTAL 2º Trimestre</t>
  </si>
  <si>
    <t>TOTAL 3º Trimestre</t>
  </si>
  <si>
    <t>TOTAL 4º Trimestre</t>
  </si>
  <si>
    <t>PAGO</t>
  </si>
  <si>
    <t>VIPLANT</t>
  </si>
  <si>
    <t>Oferta a cliente</t>
  </si>
  <si>
    <t>CONTINENTE</t>
  </si>
  <si>
    <t>TRIBUTAÇÃO AUTONOMA DE REFEIÇÕES</t>
  </si>
  <si>
    <t>DESVIO DO CÁLCULO</t>
  </si>
  <si>
    <t>MESES</t>
  </si>
  <si>
    <t>TRIBUTAÇÃO AUTONOMA DE GASÓLEO</t>
  </si>
  <si>
    <t>IVA A LIQUIDAR</t>
  </si>
  <si>
    <t>BPI Empresa</t>
  </si>
  <si>
    <t>Conta pessoal</t>
  </si>
  <si>
    <t>Numerário</t>
  </si>
  <si>
    <t>A Reembolsar</t>
  </si>
  <si>
    <t>Cafés</t>
  </si>
  <si>
    <t>NESPRESSO</t>
  </si>
  <si>
    <t>Prestação de serviços</t>
  </si>
  <si>
    <t>Rótulos de Linha</t>
  </si>
  <si>
    <t>Total Geral</t>
  </si>
  <si>
    <t>abr</t>
  </si>
  <si>
    <t>04/abr</t>
  </si>
  <si>
    <t>06/abr</t>
  </si>
  <si>
    <t>Soma de IVA A RECEBER</t>
  </si>
  <si>
    <t>Soma de IVA A PAGAR</t>
  </si>
  <si>
    <t>Material diverso</t>
  </si>
  <si>
    <t>Lavagem de viatura</t>
  </si>
  <si>
    <t>CENTO DE LAVAGEM DA ABÓBODA</t>
  </si>
  <si>
    <t>FT A/4404</t>
  </si>
  <si>
    <t>FT 000000522</t>
  </si>
  <si>
    <t>TOTAL IVA - ANO 2025</t>
  </si>
  <si>
    <t>LEROY MERLIN</t>
  </si>
  <si>
    <t>FT 000380</t>
  </si>
  <si>
    <t>Cápsulas de café</t>
  </si>
  <si>
    <t>FT 37548073</t>
  </si>
  <si>
    <t>Refeição</t>
  </si>
  <si>
    <t>CROCANTE</t>
  </si>
  <si>
    <t>FT 002/304421</t>
  </si>
  <si>
    <t>RESTAURANTE MARIA DOS TACHO</t>
  </si>
  <si>
    <t>FS MTDS/30163</t>
  </si>
  <si>
    <t>HABURGUERIA DO BAIRRO</t>
  </si>
  <si>
    <t>FS 112/87570</t>
  </si>
  <si>
    <t>GENERALI TRANQUILIDADE</t>
  </si>
  <si>
    <t xml:space="preserve">NC </t>
  </si>
  <si>
    <t>Seguro estorno</t>
  </si>
  <si>
    <t>NÃO</t>
  </si>
  <si>
    <t>Portagens</t>
  </si>
  <si>
    <t>VIAVERDE</t>
  </si>
  <si>
    <t>FT BR2025/000999041</t>
  </si>
  <si>
    <t>FT FAC 005261</t>
  </si>
  <si>
    <t>Venda viatura Mercedes A180</t>
  </si>
  <si>
    <t>FT 2025/1</t>
  </si>
  <si>
    <t>FT 000002063</t>
  </si>
  <si>
    <t>FT A/4442</t>
  </si>
  <si>
    <t>Produtos limpeza</t>
  </si>
  <si>
    <t>E.LECLERC</t>
  </si>
  <si>
    <t>FT 1 008122448/0182365</t>
  </si>
  <si>
    <t>FS MTDS/6507</t>
  </si>
  <si>
    <t>RESTAURANTE O NOSSO PREGO</t>
  </si>
  <si>
    <t>FR 70114/212</t>
  </si>
  <si>
    <t>PIZZARIA DA PRAIA</t>
  </si>
  <si>
    <t>FS 2A2501/2293</t>
  </si>
  <si>
    <t>FT 37816430</t>
  </si>
  <si>
    <t>A PADAEIRA</t>
  </si>
  <si>
    <t>FT 1A2501E25/589</t>
  </si>
  <si>
    <t>Jardim</t>
  </si>
  <si>
    <t>FT F225FPOS2/9242</t>
  </si>
  <si>
    <t>Sacos aspirador</t>
  </si>
  <si>
    <t>PARTNUMBER</t>
  </si>
  <si>
    <t>FS 2025A8/520</t>
  </si>
  <si>
    <t>Decoração de imóvel</t>
  </si>
  <si>
    <t>FT FS225 FPOS2/12927</t>
  </si>
  <si>
    <t>FT FS ARU227/067033</t>
  </si>
  <si>
    <t>FT FS ARU227/016340</t>
  </si>
  <si>
    <t>FT FS70114/4481</t>
  </si>
  <si>
    <t>Reembolso à sócia</t>
  </si>
  <si>
    <t>BANCO BPI</t>
  </si>
  <si>
    <t>Perfil vedante</t>
  </si>
  <si>
    <t>FT 20250605601/002612</t>
  </si>
  <si>
    <t>IKEA</t>
  </si>
  <si>
    <t>FA FAC3670462025/0010337</t>
  </si>
  <si>
    <t>MCDONALD'S - Abóboda</t>
  </si>
  <si>
    <t>FT FS 2025014801A/42796</t>
  </si>
  <si>
    <t>RESTAURANTE HOJA SANTA</t>
  </si>
  <si>
    <t>FT FS1A2501/799</t>
  </si>
  <si>
    <t>DOC 008.285.435/04/2025</t>
  </si>
  <si>
    <t>Caixa de arrumação</t>
  </si>
  <si>
    <t>BRICOMARCHÉ</t>
  </si>
  <si>
    <t>FT FT252C031225/2850</t>
  </si>
  <si>
    <t>FT FS MTDS/37925</t>
  </si>
  <si>
    <t>FT FS 002/311905</t>
  </si>
  <si>
    <t>Tapete</t>
  </si>
  <si>
    <t>GATO PRETO</t>
  </si>
  <si>
    <t>FT FET008/0000035037</t>
  </si>
  <si>
    <t>RESTAURANTE REQUINTEDECIMAL</t>
  </si>
  <si>
    <t>FT R101/00127819</t>
  </si>
  <si>
    <t>RESTAURANTE ASIÃTICO JASMIM</t>
  </si>
  <si>
    <t>FT FT 101/000652762</t>
  </si>
  <si>
    <t>BULLGUER CARCAVELOS</t>
  </si>
  <si>
    <t>FT FT 2A2501/4386</t>
  </si>
  <si>
    <t>Cofre</t>
  </si>
  <si>
    <t>BRICODEPOT</t>
  </si>
  <si>
    <t>FT FT 166106/00077330</t>
  </si>
  <si>
    <t>Cartão Oferta</t>
  </si>
  <si>
    <t>FT AR060/016640</t>
  </si>
  <si>
    <t>FT AR060/016641</t>
  </si>
  <si>
    <t>Plantas</t>
  </si>
  <si>
    <t>FT  F225 FPOS2/30209</t>
  </si>
  <si>
    <t xml:space="preserve">Vernis </t>
  </si>
  <si>
    <t>FT 20250020801/017950</t>
  </si>
  <si>
    <t>Limpeza</t>
  </si>
  <si>
    <t>PAULA CRISTINA MOREIRA</t>
  </si>
  <si>
    <t>FR ATSIRE01FR/34</t>
  </si>
  <si>
    <t>QUIOSQUE ALTA SANTO AMARO</t>
  </si>
  <si>
    <t>FT FS TRA20241/77290</t>
  </si>
  <si>
    <t>Loiças</t>
  </si>
  <si>
    <t>CONCEITOINESPERADO</t>
  </si>
  <si>
    <t>FT FR 2.1/13724</t>
  </si>
  <si>
    <t>MDL CARCAVELOS</t>
  </si>
  <si>
    <t>FT FS KRE013/085076</t>
  </si>
  <si>
    <t>FT FR BR2025/008214889</t>
  </si>
  <si>
    <t>PADARIA PORTUGUEA</t>
  </si>
  <si>
    <t>FT FS035/1511037</t>
  </si>
  <si>
    <t>AROMA CLUB</t>
  </si>
  <si>
    <t>FT FS 12/5908</t>
  </si>
  <si>
    <t>Chaves</t>
  </si>
  <si>
    <t>BOTA MINUTO ALCANTARA</t>
  </si>
  <si>
    <t>FTR 114/12454</t>
  </si>
  <si>
    <t>Cabo telemóvel e Caixa plástica</t>
  </si>
  <si>
    <t>ACTION</t>
  </si>
  <si>
    <t>FT FR E016102.1/019815</t>
  </si>
  <si>
    <t>ROVANY</t>
  </si>
  <si>
    <t>FT FS 001/204609</t>
  </si>
  <si>
    <t>RESTAURANTE A TERESINHA</t>
  </si>
  <si>
    <t>FT FT 2/106093</t>
  </si>
  <si>
    <t>26/abr</t>
  </si>
  <si>
    <t>jun</t>
  </si>
  <si>
    <t>29/jun</t>
  </si>
  <si>
    <t>07/jun</t>
  </si>
  <si>
    <t>Consultoria</t>
  </si>
  <si>
    <t>JOÃO ALBERTO SILVA ARAUJO</t>
  </si>
  <si>
    <t>FT 1 2500/000010</t>
  </si>
  <si>
    <t>014.259.635/07/2025</t>
  </si>
  <si>
    <t>Seguro</t>
  </si>
  <si>
    <t>ALLIANZ</t>
  </si>
  <si>
    <t>FT FR2025/003880689</t>
  </si>
  <si>
    <t>Viagens</t>
  </si>
  <si>
    <t>UBER</t>
  </si>
  <si>
    <t>FT FS 001/207997</t>
  </si>
  <si>
    <t>SEPHORA</t>
  </si>
  <si>
    <t>FT FAZ 1032025000/55633</t>
  </si>
  <si>
    <t>MERCADO DO PÃO</t>
  </si>
  <si>
    <t>FT FSC B/5234</t>
  </si>
  <si>
    <t>FT FS 002/319206</t>
  </si>
  <si>
    <t>Televisão</t>
  </si>
  <si>
    <t>RÁDIO POPULAR</t>
  </si>
  <si>
    <t>FT FS 3120A/055355</t>
  </si>
  <si>
    <t>Coxim de jardim</t>
  </si>
  <si>
    <t>JYSK</t>
  </si>
  <si>
    <t>FT FR 8117_101_2025/25990</t>
  </si>
  <si>
    <t>FT FS 002/319909</t>
  </si>
  <si>
    <t>Stink Android</t>
  </si>
  <si>
    <t>FNAC</t>
  </si>
  <si>
    <t>FT FT 024007202508001/001310</t>
  </si>
  <si>
    <t>FT FT 1A2501E25/13222</t>
  </si>
  <si>
    <t>SÓNIA ALEXANDRA ROSA NASCIMENTO</t>
  </si>
  <si>
    <t>FT FR ATSIRE01FR/5</t>
  </si>
  <si>
    <t>Produtos escritório</t>
  </si>
  <si>
    <t>FT ARU218/001128</t>
  </si>
  <si>
    <t>SACOLINHA</t>
  </si>
  <si>
    <t>FT FR 23003/11284</t>
  </si>
  <si>
    <t>FT F225FPOS2/38600</t>
  </si>
  <si>
    <t>Suporte para quadro</t>
  </si>
  <si>
    <t>FT 20250605601/005990</t>
  </si>
  <si>
    <t>PRIMO BASILICO</t>
  </si>
  <si>
    <t>FT FS 110/43088</t>
  </si>
  <si>
    <t>OFICINA DA CARNE CASCAIS</t>
  </si>
  <si>
    <t>FT 75E2501/6944</t>
  </si>
  <si>
    <t>Basalto</t>
  </si>
  <si>
    <t>WATCHCLIMB</t>
  </si>
  <si>
    <t>FT FR 2025/29964</t>
  </si>
  <si>
    <t>Ambientador</t>
  </si>
  <si>
    <t>ZARA HOME</t>
  </si>
  <si>
    <t>FT FT001788012025/000406</t>
  </si>
  <si>
    <t>FT 23002/12277</t>
  </si>
  <si>
    <t>FT F225 FPOS/42750</t>
  </si>
  <si>
    <t>RETENÇÃO NA FONTE</t>
  </si>
  <si>
    <t>FT 2025/10</t>
  </si>
  <si>
    <t>FT 2025/06</t>
  </si>
  <si>
    <t>FT 2025/02</t>
  </si>
  <si>
    <t>FT 2025/05</t>
  </si>
  <si>
    <t>FT 2025/03</t>
  </si>
  <si>
    <t>FT 2025/08</t>
  </si>
  <si>
    <t>FT 2025/07</t>
  </si>
  <si>
    <t>FT 2025/09</t>
  </si>
  <si>
    <t>FT ARU061/018020</t>
  </si>
  <si>
    <t>F225 FPOS2/45046</t>
  </si>
  <si>
    <t>FT ARU060/017069</t>
  </si>
  <si>
    <t>FT 1 2500/000012</t>
  </si>
  <si>
    <t>FT 1 2500/000011</t>
  </si>
  <si>
    <t>Lampeda</t>
  </si>
  <si>
    <t>LOTTE STAR</t>
  </si>
  <si>
    <t>FT FAC A/2025048765</t>
  </si>
  <si>
    <t>17/jun</t>
  </si>
  <si>
    <t>FT 39077177</t>
  </si>
  <si>
    <t>FT ARU061/018080</t>
  </si>
  <si>
    <t>FT 2025/11</t>
  </si>
  <si>
    <t>PAULO CARVALHO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</si>
</sst>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dd\-mm\-yyyy;@"/>
    <numFmt numFmtId="165" formatCode="#,##0.00\ _€;[Red]\-#,##0.00\ _€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ashed">
        <color auto="1"/>
      </right>
      <top style="double">
        <color auto="1"/>
      </top>
      <bottom style="dashed">
        <color auto="1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ouble">
        <color auto="1"/>
      </right>
      <top style="dashed">
        <color auto="1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1" fillId="3" borderId="1" xfId="0" applyFont="1" applyFill="1" applyBorder="1" applyAlignment="1">
      <alignment horizontal="center" vertical="center"/>
    </xf>
    <xf numFmtId="44" fontId="0" fillId="0" borderId="0" xfId="1" applyFont="1"/>
    <xf numFmtId="14" fontId="0" fillId="0" borderId="0" xfId="0" applyNumberFormat="1"/>
    <xf numFmtId="44" fontId="0" fillId="0" borderId="0" xfId="0" applyNumberFormat="1"/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9" fontId="0" fillId="0" borderId="0" xfId="0" applyNumberFormat="1"/>
    <xf numFmtId="0" fontId="0" fillId="0" borderId="0" xfId="0" quotePrefix="1"/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4" fontId="0" fillId="4" borderId="0" xfId="1" applyFont="1" applyFill="1" applyBorder="1"/>
    <xf numFmtId="44" fontId="8" fillId="3" borderId="7" xfId="0" applyNumberFormat="1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14" fontId="0" fillId="0" borderId="0" xfId="0" applyNumberFormat="1" applyAlignment="1">
      <alignment horizontal="left" indent="4"/>
    </xf>
    <xf numFmtId="44" fontId="0" fillId="0" borderId="0" xfId="1" applyFont="1" applyAlignment="1">
      <alignment horizontal="center"/>
    </xf>
    <xf numFmtId="165" fontId="0" fillId="0" borderId="0" xfId="0" applyNumberFormat="1"/>
    <xf numFmtId="165" fontId="7" fillId="5" borderId="0" xfId="0" applyNumberFormat="1" applyFont="1" applyFill="1"/>
    <xf numFmtId="165" fontId="8" fillId="3" borderId="7" xfId="0" applyNumberFormat="1" applyFont="1" applyFill="1" applyBorder="1"/>
    <xf numFmtId="44" fontId="0" fillId="6" borderId="7" xfId="1" applyFont="1" applyFill="1" applyBorder="1"/>
    <xf numFmtId="0" fontId="7" fillId="0" borderId="0" xfId="0" applyFont="1" applyAlignment="1">
      <alignment horizontal="center" vertical="center" wrapText="1"/>
    </xf>
    <xf numFmtId="164" fontId="0" fillId="0" borderId="0" xfId="0" applyNumberFormat="1" applyBorder="1"/>
    <xf numFmtId="0" fontId="0" fillId="0" borderId="0" xfId="0" applyBorder="1"/>
    <xf numFmtId="44" fontId="0" fillId="0" borderId="0" xfId="1" applyFont="1" applyBorder="1"/>
    <xf numFmtId="9" fontId="0" fillId="0" borderId="0" xfId="2" applyFont="1" applyBorder="1"/>
    <xf numFmtId="14" fontId="0" fillId="0" borderId="0" xfId="0" applyNumberFormat="1" applyBorder="1"/>
    <xf numFmtId="0" fontId="2" fillId="0" borderId="0" xfId="0" applyFont="1" applyAlignment="1">
      <alignment horizontal="center" vertical="center" wrapText="1"/>
    </xf>
    <xf numFmtId="0" fontId="7" fillId="5" borderId="0" xfId="0" applyFont="1" applyFill="1" applyAlignment="1">
      <alignment horizontal="center"/>
    </xf>
    <xf numFmtId="0" fontId="8" fillId="3" borderId="7" xfId="0" applyFont="1" applyFill="1" applyBorder="1" applyAlignment="1">
      <alignment horizontal="center"/>
    </xf>
    <xf numFmtId="164" fontId="0" fillId="7" borderId="6" xfId="0" applyNumberFormat="1" applyFill="1" applyBorder="1"/>
    <xf numFmtId="0" fontId="0" fillId="7" borderId="3" xfId="0" applyFill="1" applyBorder="1"/>
    <xf numFmtId="44" fontId="0" fillId="7" borderId="3" xfId="1" applyFont="1" applyFill="1" applyBorder="1"/>
    <xf numFmtId="44" fontId="0" fillId="7" borderId="3" xfId="1" applyFont="1" applyFill="1" applyBorder="1" applyAlignment="1">
      <alignment horizontal="center"/>
    </xf>
    <xf numFmtId="9" fontId="0" fillId="7" borderId="3" xfId="2" applyFont="1" applyFill="1" applyBorder="1"/>
    <xf numFmtId="14" fontId="0" fillId="7" borderId="4" xfId="0" applyNumberFormat="1" applyFill="1" applyBorder="1"/>
    <xf numFmtId="44" fontId="0" fillId="7" borderId="0" xfId="0" applyNumberFormat="1" applyFill="1"/>
    <xf numFmtId="44" fontId="1" fillId="7" borderId="3" xfId="1" applyFont="1" applyFill="1" applyBorder="1"/>
    <xf numFmtId="0" fontId="4" fillId="7" borderId="3" xfId="0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14" fontId="6" fillId="7" borderId="4" xfId="0" applyNumberFormat="1" applyFont="1" applyFill="1" applyBorder="1"/>
    <xf numFmtId="0" fontId="0" fillId="7" borderId="3" xfId="0" quotePrefix="1" applyFill="1" applyBorder="1"/>
    <xf numFmtId="0" fontId="0" fillId="7" borderId="5" xfId="0" applyFill="1" applyBorder="1"/>
    <xf numFmtId="3" fontId="0" fillId="7" borderId="3" xfId="0" quotePrefix="1" applyNumberFormat="1" applyFill="1" applyBorder="1"/>
    <xf numFmtId="0" fontId="0" fillId="7" borderId="0" xfId="0" applyFill="1"/>
    <xf numFmtId="17" fontId="0" fillId="7" borderId="3" xfId="0" applyNumberFormat="1" applyFill="1" applyBorder="1" applyAlignment="1">
      <alignment horizontal="left"/>
    </xf>
    <xf numFmtId="164" fontId="0" fillId="7" borderId="9" xfId="0" applyNumberFormat="1" applyFill="1" applyBorder="1"/>
    <xf numFmtId="0" fontId="0" fillId="7" borderId="10" xfId="0" applyFill="1" applyBorder="1"/>
    <xf numFmtId="44" fontId="0" fillId="7" borderId="10" xfId="1" applyFont="1" applyFill="1" applyBorder="1"/>
    <xf numFmtId="9" fontId="0" fillId="7" borderId="10" xfId="2" applyFont="1" applyFill="1" applyBorder="1"/>
    <xf numFmtId="14" fontId="0" fillId="7" borderId="11" xfId="0" applyNumberFormat="1" applyFill="1" applyBorder="1"/>
    <xf numFmtId="44" fontId="0" fillId="7" borderId="0" xfId="0" applyNumberFormat="1" applyFill="1" applyBorder="1"/>
    <xf numFmtId="44" fontId="0" fillId="7" borderId="10" xfId="1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ercentagem" xfId="2" builtinId="5"/>
  </cellStyles>
  <dxfs count="27">
    <dxf>
      <numFmt numFmtId="34" formatCode="_-* #,##0.00\ &quot;€&quot;_-;\-* #,##0.00\ &quot;€&quot;_-;_-* &quot;-&quot;??\ &quot;€&quot;_-;_-@_-"/>
    </dxf>
    <dxf>
      <fill>
        <patternFill patternType="solid">
          <fgColor indexed="64"/>
          <bgColor theme="0" tint="-4.9989318521683403E-2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0" tint="-4.9989318521683403E-2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0" tint="-4.9989318521683403E-2"/>
        </patternFill>
      </fill>
    </dxf>
    <dxf>
      <numFmt numFmtId="19" formatCode="dd/mm/yyyy"/>
      <fill>
        <patternFill patternType="solid">
          <fgColor indexed="64"/>
          <bgColor theme="0" tint="-4.9989318521683403E-2"/>
        </patternFill>
      </fill>
      <border diagonalUp="0" diagonalDown="0" outline="0">
        <left style="dashed">
          <color auto="1"/>
        </left>
        <right style="double">
          <color auto="1"/>
        </right>
        <top style="dashed">
          <color auto="1"/>
        </top>
        <bottom style="dashed">
          <color auto="1"/>
        </bottom>
      </border>
    </dxf>
    <dxf>
      <fill>
        <patternFill patternType="solid">
          <fgColor indexed="64"/>
          <bgColor theme="0" tint="-4.9989318521683403E-2"/>
        </patternFill>
      </fill>
      <border diagonalUp="0" diagonalDown="0" outline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</border>
    </dxf>
    <dxf>
      <fill>
        <patternFill patternType="solid">
          <fgColor indexed="64"/>
          <bgColor theme="0" tint="-4.9989318521683403E-2"/>
        </patternFill>
      </fill>
      <border diagonalUp="0" diagonalDown="0" outline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</border>
    </dxf>
    <dxf>
      <fill>
        <patternFill patternType="solid">
          <fgColor indexed="64"/>
          <bgColor theme="0" tint="-4.9989318521683403E-2"/>
        </patternFill>
      </fill>
      <border diagonalUp="0" diagonalDown="0" outline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</border>
    </dxf>
    <dxf>
      <fill>
        <patternFill patternType="solid">
          <fgColor indexed="64"/>
          <bgColor theme="0" tint="-4.9989318521683403E-2"/>
        </patternFill>
      </fill>
      <border diagonalUp="0" diagonalDown="0" outline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</border>
    </dxf>
    <dxf>
      <fill>
        <patternFill patternType="solid">
          <fgColor indexed="64"/>
          <bgColor theme="0" tint="-4.9989318521683403E-2"/>
        </patternFill>
      </fill>
      <border diagonalUp="0" diagonalDown="0" outline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</border>
    </dxf>
    <dxf>
      <numFmt numFmtId="164" formatCode="dd\-mm\-yyyy;@"/>
      <fill>
        <patternFill patternType="solid">
          <fgColor indexed="64"/>
          <bgColor theme="0" tint="-4.9989318521683403E-2"/>
        </patternFill>
      </fill>
      <border diagonalUp="0" diagonalDown="0" outline="0">
        <left/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border outline="0">
        <left style="double">
          <color auto="1"/>
        </left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numFmt numFmtId="34" formatCode="_-* #,##0.00\ &quot;€&quot;_-;\-* #,##0.0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ra Machado" refreshedDate="45939.349166203705" createdVersion="8" refreshedVersion="6" minRefreshableVersion="3" recordCount="295">
  <cacheSource type="worksheet">
    <worksheetSource name="Tabela1"/>
  </cacheSource>
  <cacheFields count="17">
    <cacheField name="Data documento" numFmtId="164">
      <sharedItems containsNonDate="0" containsDate="1" containsString="0" containsBlank="1" minDate="2024-01-31T00:00:00" maxDate="2025-10-05T00:00:00" count="184">
        <d v="2025-01-18T00:00:00"/>
        <d v="2025-01-25T00:00:00"/>
        <d v="2025-01-19T00:00:00"/>
        <d v="2025-02-01T00:00:00"/>
        <d v="2025-02-08T00:00:00"/>
        <d v="2025-02-05T00:00:00"/>
        <d v="2025-05-12T00:00:00"/>
        <d v="2025-02-14T00:00:00"/>
        <d v="2025-01-31T00:00:00"/>
        <d v="2025-02-16T00:00:00"/>
        <d v="2025-02-13T00:00:00"/>
        <d v="2025-02-19T00:00:00"/>
        <d v="2025-02-22T00:00:00"/>
        <d v="2025-03-09T00:00:00"/>
        <d v="2025-02-27T00:00:00"/>
        <d v="2025-03-13T00:00:00"/>
        <d v="2025-03-01T00:00:00"/>
        <d v="2025-03-15T00:00:00"/>
        <d v="2025-03-16T00:00:00"/>
        <d v="2025-03-26T00:00:00"/>
        <d v="2025-04-07T00:00:00"/>
        <d v="2025-04-06T00:00:00"/>
        <d v="2025-04-04T00:00:00"/>
        <d v="2025-04-10T00:00:00"/>
        <d v="2025-04-15T00:00:00"/>
        <d v="2025-04-18T00:00:00"/>
        <d v="2025-04-26T00:00:00"/>
        <d v="2025-04-30T00:00:00"/>
        <d v="2025-05-04T00:00:00"/>
        <d v="2025-05-07T00:00:00"/>
        <d v="2025-05-25T00:00:00"/>
        <d v="2025-06-07T00:00:00"/>
        <d v="2025-05-29T00:00:00"/>
        <d v="2025-06-06T00:00:00"/>
        <d v="2025-06-12T00:00:00"/>
        <d v="2025-06-13T00:00:00"/>
        <d v="2025-06-29T00:00:00"/>
        <d v="2025-06-19T00:00:00"/>
        <d v="2025-07-04T00:00:00"/>
        <d v="2025-07-06T00:00:00"/>
        <d v="2025-07-03T00:00:00"/>
        <d v="2025-06-30T00:00:00"/>
        <d v="2025-07-08T00:00:00"/>
        <d v="2025-07-05T00:00:00"/>
        <d v="2025-07-11T00:00:00"/>
        <d v="2025-07-18T00:00:00"/>
        <d v="2025-07-10T00:00:00"/>
        <d v="2025-07-17T00:00:00"/>
        <d v="2025-07-24T00:00:00"/>
        <d v="2025-07-30T00:00:00"/>
        <d v="2025-03-31T00:00:00"/>
        <d v="2025-07-02T00:00:00"/>
        <d v="2025-08-01T00:00:00"/>
        <d v="2025-07-31T00:00:00"/>
        <d v="2025-08-04T00:00:00"/>
        <d v="2025-08-03T00:00:00"/>
        <d v="2025-08-07T00:00:00"/>
        <d v="2025-08-09T00:00:00"/>
        <d v="2025-08-10T00:00:00"/>
        <d v="2025-08-16T00:00:00"/>
        <d v="2025-08-19T00:00:00"/>
        <d v="2025-08-20T00:00:00"/>
        <d v="2025-08-14T00:00:00"/>
        <d v="2025-08-24T00:00:00"/>
        <d v="2025-08-23T00:00:00"/>
        <d v="2025-08-25T00:00:00"/>
        <d v="2025-06-17T00:00:00"/>
        <d v="2025-08-26T00:00:00"/>
        <d v="2025-09-09T00:00:00"/>
        <d v="2025-09-11T00:00:00"/>
        <d v="2025-09-13T00:00:00"/>
        <d v="2025-09-14T00:00:00"/>
        <d v="2025-09-19T00:00:00"/>
        <d v="2025-09-27T00:00:00"/>
        <d v="2025-09-26T00:00:00"/>
        <d v="2025-09-24T00:00:00"/>
        <d v="2025-10-04T00:00:00"/>
        <d v="2025-10-03T00:00:00"/>
        <d v="2025-09-29T00:00:00"/>
        <m/>
        <d v="2024-04-24T00:00:00" u="1"/>
        <d v="2024-07-26T00:00:00" u="1"/>
        <d v="2024-05-05T00:00:00" u="1"/>
        <d v="2024-04-20T00:00:00" u="1"/>
        <d v="2024-07-22T00:00:00" u="1"/>
        <d v="2024-05-01T00:00:00" u="1"/>
        <d v="2024-08-03T00:00:00" u="1"/>
        <d v="2024-04-16T00:00:00" u="1"/>
        <d v="2024-03-31T00:00:00" u="1"/>
        <d v="2024-07-14T00:00:00" u="1"/>
        <d v="2024-04-08T00:00:00" u="1"/>
        <d v="2024-03-23T00:00:00" u="1"/>
        <d v="2024-06-25T00:00:00" u="1"/>
        <d v="2024-04-04T00:00:00" u="1"/>
        <d v="2024-07-06T00:00:00" u="1"/>
        <d v="2024-06-21T00:00:00" u="1"/>
        <d v="2024-07-02T00:00:00" u="1"/>
        <d v="2024-06-17T00:00:00" u="1"/>
        <d v="2024-09-19T00:00:00" u="1"/>
        <d v="2024-06-13T00:00:00" u="1"/>
        <d v="2024-05-24T00:00:00" u="1"/>
        <d v="2024-08-26T00:00:00" u="1"/>
        <d v="2024-05-20T00:00:00" u="1"/>
        <d v="2024-08-22T00:00:00" u="1"/>
        <d v="2024-09-03T00:00:00" u="1"/>
        <d v="2024-08-18T00:00:00" u="1"/>
        <d v="2024-04-27T00:00:00" u="1"/>
        <d v="2024-07-29T00:00:00" u="1"/>
        <d v="2024-05-08T00:00:00" u="1"/>
        <d v="2024-08-10T00:00:00" u="1"/>
        <d v="2024-07-25T00:00:00" u="1"/>
        <d v="2024-05-04T00:00:00" u="1"/>
        <d v="2024-04-19T00:00:00" u="1"/>
        <d v="2024-04-15T00:00:00" u="1"/>
        <d v="2024-07-17T00:00:00" u="1"/>
        <d v="2024-04-11T00:00:00" u="1"/>
        <d v="2024-07-13T00:00:00" u="1"/>
        <d v="2024-06-28T00:00:00" u="1"/>
        <d v="2024-04-07T00:00:00" u="1"/>
        <d v="2024-07-09T00:00:00" u="1"/>
        <d v="2024-06-24T00:00:00" u="1"/>
        <d v="2024-04-03T00:00:00" u="1"/>
        <d v="2024-07-05T00:00:00" u="1"/>
        <d v="2024-09-22T00:00:00" u="1"/>
        <d v="2024-07-01T00:00:00" u="1"/>
        <d v="2024-06-16T00:00:00" u="1"/>
        <d v="2024-02-29T00:00:00" u="1"/>
        <d v="2024-09-14T00:00:00" u="1"/>
        <d v="2024-05-27T00:00:00" u="1"/>
        <d v="2024-08-29T00:00:00" u="1"/>
        <d v="2024-09-10T00:00:00" u="1"/>
        <d v="2024-05-23T00:00:00" u="1"/>
        <d v="2024-08-21T00:00:00" u="1"/>
        <d v="2024-09-02T00:00:00" u="1"/>
        <d v="2024-08-13T00:00:00" u="1"/>
        <d v="2024-04-26T00:00:00" u="1"/>
        <d v="2024-07-28T00:00:00" u="1"/>
        <d v="2024-08-09T00:00:00" u="1"/>
        <d v="2024-04-22T00:00:00" u="1"/>
        <d v="2024-07-24T00:00:00" u="1"/>
        <d v="2024-05-03T00:00:00" u="1"/>
        <d v="2024-07-20T00:00:00" u="1"/>
        <d v="2024-08-01T00:00:00" u="1"/>
        <d v="2024-04-14T00:00:00" u="1"/>
        <d v="2024-04-06T00:00:00" u="1"/>
        <d v="2024-07-08T00:00:00" u="1"/>
        <d v="2024-09-21T00:00:00" u="1"/>
        <d v="2024-09-17T00:00:00" u="1"/>
        <d v="2024-05-22T00:00:00" u="1"/>
        <d v="2024-08-24T00:00:00" u="1"/>
        <d v="2024-06-03T00:00:00" u="1"/>
        <d v="2024-01-31T00:00:00" u="1"/>
        <d v="2024-09-01T00:00:00" u="1"/>
        <d v="2024-08-16T00:00:00" u="1"/>
        <d v="2024-07-31T00:00:00" u="1"/>
        <d v="2024-05-10T00:00:00" u="1"/>
        <d v="2024-08-12T00:00:00" u="1"/>
        <d v="2024-04-25T00:00:00" u="1"/>
        <d v="2024-07-27T00:00:00" u="1"/>
        <d v="2024-05-06T00:00:00" u="1"/>
        <d v="2024-08-08T00:00:00" u="1"/>
        <d v="2024-04-21T00:00:00" u="1"/>
        <d v="2024-05-02T00:00:00" u="1"/>
        <d v="2024-08-04T00:00:00" u="1"/>
        <d v="2024-04-17T00:00:00" u="1"/>
        <d v="2024-07-19T00:00:00" u="1"/>
        <d v="2024-04-13T00:00:00" u="1"/>
        <d v="2024-07-15T00:00:00" u="1"/>
        <d v="2024-03-28T00:00:00" u="1"/>
        <d v="2024-06-30T00:00:00" u="1"/>
        <d v="2024-07-11T00:00:00" u="1"/>
        <d v="2024-04-05T00:00:00" u="1"/>
        <d v="2024-07-07T00:00:00" u="1"/>
        <d v="2024-06-22T00:00:00" u="1"/>
        <d v="2024-04-01T00:00:00" u="1"/>
        <d v="2024-03-08T00:00:00" u="1"/>
        <d v="2024-08-31T00:00:00" u="1"/>
        <d v="2024-09-12T00:00:00" u="1"/>
        <d v="2024-05-25T00:00:00" u="1"/>
        <d v="2024-08-27T00:00:00" u="1"/>
        <d v="2024-02-15T00:00:00" u="1"/>
        <d v="2024-04-28T00:00:00" u="1"/>
        <d v="2024-07-30T00:00:00" u="1"/>
        <d v="2024-05-09T00:00:00" u="1"/>
      </sharedItems>
      <fieldGroup par="16"/>
    </cacheField>
    <cacheField name="Descritivo" numFmtId="0">
      <sharedItems containsBlank="1" count="88">
        <s v="Lavagem de viatura"/>
        <s v="Gasóleo"/>
        <s v="Material diverso"/>
        <s v="Cápsulas de café"/>
        <s v="Refeição"/>
        <s v="Seguro estorno"/>
        <s v="Portagens"/>
        <s v="Diversos"/>
        <s v="Venda viatura Mercedes A180"/>
        <s v="Produtos limpeza"/>
        <s v="Cafés"/>
        <s v="Jardim"/>
        <s v="Sacos aspirador"/>
        <s v="Decoração de imóvel"/>
        <s v="Oferta a cliente"/>
        <s v="Reembolso à sócia"/>
        <s v="Perfil vedante"/>
        <s v="Caixa de arrumação"/>
        <s v="Tapete"/>
        <s v="Cofre"/>
        <s v="Cartão Oferta"/>
        <s v="Plantas"/>
        <s v="Vernis "/>
        <s v="Limpeza"/>
        <s v="Loiças"/>
        <s v="Chaves"/>
        <s v="Cabo telemóvel e Caixa plástica"/>
        <s v="Consultoria"/>
        <s v="Prestação de serviços"/>
        <s v="Seguro"/>
        <s v="Viagens"/>
        <s v="Televisão"/>
        <s v="Coxim de jardim"/>
        <s v="Stink Android"/>
        <s v="Produtos escritório"/>
        <s v="Suporte para quadro"/>
        <s v="Basalto"/>
        <s v="Ambientador"/>
        <s v="Lampeda"/>
        <m/>
        <s v="Capsulas Café" u="1"/>
        <s v="Reembolso à sócia - Adiantamentos" u="1"/>
        <s v="Preparação evento" u="1"/>
        <s v="Pagamento IES 2024" u="1"/>
        <s v="Preparação de Jardim - Terra" u="1"/>
        <s v="Preparação de imóvel para venda" u="1"/>
        <s v="Tampa de valvula" u="1"/>
        <s v="Bilhete de autocarro" u="1"/>
        <s v="Preparação jardim" u="1"/>
        <s v="Serviço de taxi" u="1"/>
        <s v="Revisão Mercedes" u="1"/>
        <s v="Passe Social" u="1"/>
        <s v="Carregamento Cartão Dá" u="1"/>
        <s v="Prestação de Serviços imobiliários." u="1"/>
        <s v="Bilhete de metro" u="1"/>
        <s v="Pagamento IUC - Mercedes" u="1"/>
        <s v="Verniz" u="1"/>
        <s v="Mochila para Portátil" u="1"/>
        <s v="TocOnline" u="1"/>
        <s v="Estante e Sacos perfurados" u="1"/>
        <s v="Seguros anual - Mercedes" u="1"/>
        <s v="Oferta a colaborador" u="1"/>
        <s v="Envelopes A4" u="1"/>
        <s v="Portagens e estacionamentos" u="1"/>
        <s v="Ajudas de custo - Junho" u="1"/>
        <s v="Pagamento IVA 1º Trimestre" u="1"/>
        <s v="Lavgem e aspiração" u="1"/>
        <s v="Preparação imóvel" u="1"/>
        <s v="Registo de carta" u="1"/>
        <s v="Produtos deLimpeza" u="1"/>
        <s v="Coxins - " u="1"/>
        <s v="Pagamento IVA 2º Trimestre - 1ª Prestação" u="1"/>
        <s v="Lavagem da viatura" u="1"/>
        <s v="Ambientadores" u="1"/>
        <s v="Colocação bateria auxiliar - MERCEDES" u="1"/>
        <s v="Organização evento" u="1"/>
        <s v="Deslocações" u="1"/>
        <s v="Cabo USB" u="1"/>
        <s v="Detergentes" u="1"/>
        <s v="Estante e Espelho" u="1"/>
        <s v="Reforço de conta" u="1"/>
        <s v="Utensilios" u="1"/>
        <s v="Contabilidade - Outsourcing" u="1"/>
        <s v="Prestação de Serviços adicionais, referente ao ano de 2023." u="1"/>
        <s v="Molduras" u="1"/>
        <s v="Preparação de imóvel" u="1"/>
        <s v="Reparação e recargas" u="1"/>
        <s v="Livros - Oferta a colaborador" u="1"/>
      </sharedItems>
    </cacheField>
    <cacheField name="Entidade" numFmtId="0">
      <sharedItems containsBlank="1" count="111">
        <s v="CENTO DE LAVAGEM DA ABÓBODA"/>
        <s v="GALP"/>
        <s v="LEROY MERLIN"/>
        <s v="NESPRESSO"/>
        <s v="CROCANTE"/>
        <s v="RESTAURANTE MARIA DOS TACHO"/>
        <s v="HABURGUERIA DO BAIRRO"/>
        <s v="GENERALI TRANQUILIDADE"/>
        <s v="VIAVERDE"/>
        <s v="MAKRO"/>
        <s v="PAULO CARVALHO"/>
        <s v="E.LECLERC"/>
        <s v="RESTAURANTE O NOSSO PREGO"/>
        <s v="PIZZARIA DA PRAIA"/>
        <s v="A PADAEIRA"/>
        <s v="VIPLANT"/>
        <s v="PARTNUMBER"/>
        <s v="CONTINENTE"/>
        <s v="BANCO BPI"/>
        <s v="IKEA"/>
        <s v="MCDONALD'S - Abóboda"/>
        <s v="RESTAURANTE HOJA SANTA"/>
        <s v="BRICOMARCHÉ"/>
        <s v="GATO PRETO"/>
        <s v="RESTAURANTE REQUINTEDECIMAL"/>
        <s v="RESTAURANTE ASIÃTICO JASMIM"/>
        <s v="BULLGUER CARCAVELOS"/>
        <s v="BRICODEPOT"/>
        <s v="PAULA CRISTINA MOREIRA"/>
        <s v="QUIOSQUE ALTA SANTO AMARO"/>
        <s v="CONCEITOINESPERADO"/>
        <s v="MDL CARCAVELOS"/>
        <s v="PADARIA PORTUGUEA"/>
        <s v="AROMA CLUB"/>
        <s v="BOTA MINUTO ALCANTARA"/>
        <s v="ACTION"/>
        <s v="ROVANY"/>
        <s v="RESTAURANTE A TERESINHA"/>
        <s v="JOÃO ALBERTO SILVA ARAUJO"/>
        <s v="INCA"/>
        <s v="ALLIANZ"/>
        <s v="UBER"/>
        <s v="SEPHORA"/>
        <s v="MERCADO DO PÃO"/>
        <s v="RÁDIO POPULAR"/>
        <s v="JYSK"/>
        <s v="FNAC"/>
        <s v="SÓNIA ALEXANDRA ROSA NASCIMENTO"/>
        <s v="SACOLINHA"/>
        <s v="PRIMO BASILICO"/>
        <s v="OFICINA DA CARNE CASCAIS"/>
        <s v="WATCHCLIMB"/>
        <s v="ZARA HOME"/>
        <s v="LOTTE STAR"/>
        <m/>
        <s v="MODELO CONTINENTE" u="1"/>
        <s v="HAMBURGUERIA DO BAIRRO" u="1"/>
        <s v="PAYSHOP" u="1"/>
        <s v="RESTAURANTE AIRES" u="1"/>
        <s v="FS PORTUGAL" u="1"/>
        <s v="RESTAURANTE O PACATO" u="1"/>
        <s v="TACANA" u="1"/>
        <s v="RESTAURANTE A PADEIRA" u="1"/>
        <s v="REDE EXPRESSO" u="1"/>
        <s v="CENTRO LAVAGENS ABÓBODA" u="1"/>
        <s v="O NOSSO PREGO" u="1"/>
        <s v="ESTADO" u="1"/>
        <s v="PADARIA PORTUGUESA" u="1"/>
        <s v="MASSIMO DUTTI" u="1"/>
        <s v="BERTRAND PORTIMÃO" u="1"/>
        <s v="AUCHAN RETAIL" u="1"/>
        <s v="TASTY NOODLES" u="1"/>
        <s v="VPDECOR" u="1"/>
        <s v="RESTAURANTE NORDESTE" u="1"/>
        <s v="RESTAURANTE NOOD ALCANTARA" u="1"/>
        <s v="ARCO PARIS" u="1"/>
        <s v="VIA VERDE" u="1"/>
        <s v="RESTAURANTE À ABABUJA" u="1"/>
        <s v="ALFAIATE DO SOFÁ" u="1"/>
        <s v="SANSONITE" u="1"/>
        <s v="RESTAURANTE PASTA &amp; VINHO" u="1"/>
        <s v="FINANÇAS" u="1"/>
        <s v="DNS BUSINESS PARTNERS" u="1"/>
        <s v="CONTINENTE " u="1"/>
        <s v="BELORA" u="1"/>
        <s v="ANA CRISTINA ALEXANDRE" u="1"/>
        <s v="LISZEZERE - TAXIS" u="1"/>
        <s v="RESTAURANTE SOL &amp; SOMBRA" u="1"/>
        <s v="A PADEIRA" u="1"/>
        <s v="PERÍMETRO BRONZEADO" u="1"/>
        <s v="AREA" u="1"/>
        <s v="CERVEJARIA PORTUGALIA" u="1"/>
        <s v="MONT BLANC" u="1"/>
        <s v="LI CHENGMENG" u="1"/>
        <s v="METRO LISBOA" u="1"/>
        <s v="JOM" u="1"/>
        <s v="FASHION CENTER" u="1"/>
        <s v="HUANG QINGYI" u="1"/>
        <s v="MARIA FÁTIMA MOURA JOAQUIM" u="1"/>
        <s v="RESTAURANTE HAPPY DIM SUM" u="1"/>
        <s v="CTT" u="1"/>
        <s v="CASA" u="1"/>
        <s v="RESTAURANTE MARIA DOS TACHOS" u="1"/>
        <s v="F.S. PORTUGAL, LDA" u="1"/>
        <s v="RESTAURANTE O ATLÂNTICO" u="1"/>
        <s v="TINTAS MARILINA" u="1"/>
        <s v="LIVRARIA BERTRAND" u="1"/>
        <s v="MINISTÉRIO FINANÇAS" u="1"/>
        <s v="LEROY" u="1"/>
        <s v="Check-Motor" u="1"/>
        <s v="PADARIA TRIGO BOM" u="1"/>
      </sharedItems>
    </cacheField>
    <cacheField name="Nº Documento" numFmtId="0">
      <sharedItems containsBlank="1"/>
    </cacheField>
    <cacheField name="Receita" numFmtId="44">
      <sharedItems containsString="0" containsBlank="1" containsNumber="1" minValue="128.43" maxValue="5450"/>
    </cacheField>
    <cacheField name="Despesa" numFmtId="44">
      <sharedItems containsString="0" containsBlank="1" containsNumber="1" minValue="-50" maxValue="3831.43"/>
    </cacheField>
    <cacheField name="IVA" numFmtId="0">
      <sharedItems containsBlank="1"/>
    </cacheField>
    <cacheField name="TAXA IVA" numFmtId="9">
      <sharedItems containsString="0" containsBlank="1" containsNumber="1" minValue="0.06" maxValue="0.23"/>
    </cacheField>
    <cacheField name="Retenção na Fonte" numFmtId="0">
      <sharedItems containsString="0" containsBlank="1" containsNumber="1" minValue="488.24" maxValue="716.45"/>
    </cacheField>
    <cacheField name="Segurança Social" numFmtId="0">
      <sharedItems containsNonDate="0" containsString="0" containsBlank="1"/>
    </cacheField>
    <cacheField name="Banco" numFmtId="0">
      <sharedItems containsBlank="1"/>
    </cacheField>
    <cacheField name="Tipo de Despesa" numFmtId="0">
      <sharedItems containsNonDate="0" containsString="0" containsBlank="1"/>
    </cacheField>
    <cacheField name="Data Movimento Bancário" numFmtId="14">
      <sharedItems containsNonDate="0" containsString="0" containsBlank="1"/>
    </cacheField>
    <cacheField name="IVA A RECEBER" numFmtId="44">
      <sharedItems containsSemiMixedTypes="0" containsString="0" containsNumber="1" minValue="0" maxValue="1019.106"/>
    </cacheField>
    <cacheField name="IVA A PAGAR" numFmtId="44">
      <sharedItems containsSemiMixedTypes="0" containsString="0" containsNumber="1" minValue="0" maxValue="716.44600000000003"/>
    </cacheField>
    <cacheField name="Dias (Data documento})" numFmtId="0" databaseField="0">
      <fieldGroup base="0">
        <rangePr groupBy="days" startDate="2025-01-18T00:00:00" endDate="2025-10-05T00:00:00"/>
        <groupItems count="368">
          <s v="&lt;18/01/2025"/>
          <s v="01/jan"/>
          <s v="02/jan"/>
          <s v="03/jan"/>
          <s v="04/jan"/>
          <s v="05/jan"/>
          <s v="06/jan"/>
          <s v="07/jan"/>
          <s v="08/jan"/>
          <s v="09/jan"/>
          <s v="10/jan"/>
          <s v="11/jan"/>
          <s v="12/jan"/>
          <s v="13/jan"/>
          <s v="14/jan"/>
          <s v="15/jan"/>
          <s v="16/jan"/>
          <s v="17/jan"/>
          <s v="18/jan"/>
          <s v="19/jan"/>
          <s v="20/jan"/>
          <s v="21/jan"/>
          <s v="22/jan"/>
          <s v="23/jan"/>
          <s v="24/jan"/>
          <s v="25/jan"/>
          <s v="26/jan"/>
          <s v="27/jan"/>
          <s v="28/jan"/>
          <s v="29/jan"/>
          <s v="30/jan"/>
          <s v="31/jan"/>
          <s v="01/fev"/>
          <s v="02/fev"/>
          <s v="03/fev"/>
          <s v="04/fev"/>
          <s v="05/fev"/>
          <s v="06/fev"/>
          <s v="07/fev"/>
          <s v="08/fev"/>
          <s v="09/fev"/>
          <s v="10/fev"/>
          <s v="11/fev"/>
          <s v="12/fev"/>
          <s v="13/fev"/>
          <s v="14/fev"/>
          <s v="15/fev"/>
          <s v="16/fev"/>
          <s v="17/fev"/>
          <s v="18/fev"/>
          <s v="19/fev"/>
          <s v="20/fev"/>
          <s v="21/fev"/>
          <s v="22/fev"/>
          <s v="23/fev"/>
          <s v="24/fev"/>
          <s v="25/fev"/>
          <s v="26/fev"/>
          <s v="27/fev"/>
          <s v="28/fev"/>
          <s v="29/fev"/>
          <s v="01/mar"/>
          <s v="02/mar"/>
          <s v="03/mar"/>
          <s v="04/mar"/>
          <s v="05/mar"/>
          <s v="06/mar"/>
          <s v="07/mar"/>
          <s v="08/mar"/>
          <s v="09/mar"/>
          <s v="10/mar"/>
          <s v="11/mar"/>
          <s v="12/mar"/>
          <s v="13/mar"/>
          <s v="14/mar"/>
          <s v="15/mar"/>
          <s v="16/mar"/>
          <s v="17/mar"/>
          <s v="18/mar"/>
          <s v="19/mar"/>
          <s v="20/mar"/>
          <s v="21/mar"/>
          <s v="22/mar"/>
          <s v="23/mar"/>
          <s v="24/mar"/>
          <s v="25/mar"/>
          <s v="26/mar"/>
          <s v="27/mar"/>
          <s v="28/mar"/>
          <s v="29/mar"/>
          <s v="30/mar"/>
          <s v="31/mar"/>
          <s v="01/abr"/>
          <s v="02/abr"/>
          <s v="03/abr"/>
          <s v="04/abr"/>
          <s v="05/abr"/>
          <s v="06/abr"/>
          <s v="07/abr"/>
          <s v="08/abr"/>
          <s v="09/abr"/>
          <s v="10/abr"/>
          <s v="11/abr"/>
          <s v="12/abr"/>
          <s v="13/abr"/>
          <s v="14/abr"/>
          <s v="15/abr"/>
          <s v="16/abr"/>
          <s v="17/abr"/>
          <s v="18/abr"/>
          <s v="19/abr"/>
          <s v="20/abr"/>
          <s v="21/abr"/>
          <s v="22/abr"/>
          <s v="23/abr"/>
          <s v="24/abr"/>
          <s v="25/abr"/>
          <s v="26/abr"/>
          <s v="27/abr"/>
          <s v="28/abr"/>
          <s v="29/abr"/>
          <s v="30/abr"/>
          <s v="01/mai"/>
          <s v="02/mai"/>
          <s v="03/mai"/>
          <s v="04/mai"/>
          <s v="05/mai"/>
          <s v="06/mai"/>
          <s v="07/mai"/>
          <s v="08/mai"/>
          <s v="09/mai"/>
          <s v="10/mai"/>
          <s v="11/mai"/>
          <s v="12/mai"/>
          <s v="13/mai"/>
          <s v="14/mai"/>
          <s v="15/mai"/>
          <s v="16/mai"/>
          <s v="17/mai"/>
          <s v="18/mai"/>
          <s v="19/mai"/>
          <s v="20/mai"/>
          <s v="21/mai"/>
          <s v="22/mai"/>
          <s v="23/mai"/>
          <s v="24/mai"/>
          <s v="25/mai"/>
          <s v="26/mai"/>
          <s v="27/mai"/>
          <s v="28/mai"/>
          <s v="29/mai"/>
          <s v="30/mai"/>
          <s v="31/mai"/>
          <s v="01/jun"/>
          <s v="02/jun"/>
          <s v="03/jun"/>
          <s v="04/jun"/>
          <s v="05/jun"/>
          <s v="06/jun"/>
          <s v="07/jun"/>
          <s v="08/jun"/>
          <s v="09/jun"/>
          <s v="10/jun"/>
          <s v="11/jun"/>
          <s v="12/jun"/>
          <s v="13/jun"/>
          <s v="14/jun"/>
          <s v="15/jun"/>
          <s v="16/jun"/>
          <s v="17/jun"/>
          <s v="18/jun"/>
          <s v="19/jun"/>
          <s v="20/jun"/>
          <s v="21/jun"/>
          <s v="22/jun"/>
          <s v="23/jun"/>
          <s v="24/jun"/>
          <s v="25/jun"/>
          <s v="26/jun"/>
          <s v="27/jun"/>
          <s v="28/jun"/>
          <s v="29/jun"/>
          <s v="30/jun"/>
          <s v="01/jul"/>
          <s v="02/jul"/>
          <s v="03/jul"/>
          <s v="04/jul"/>
          <s v="05/jul"/>
          <s v="06/jul"/>
          <s v="07/jul"/>
          <s v="08/jul"/>
          <s v="09/jul"/>
          <s v="10/jul"/>
          <s v="11/jul"/>
          <s v="12/jul"/>
          <s v="13/jul"/>
          <s v="14/jul"/>
          <s v="15/jul"/>
          <s v="16/jul"/>
          <s v="17/jul"/>
          <s v="18/jul"/>
          <s v="19/jul"/>
          <s v="20/jul"/>
          <s v="21/jul"/>
          <s v="22/jul"/>
          <s v="23/jul"/>
          <s v="24/jul"/>
          <s v="25/jul"/>
          <s v="26/jul"/>
          <s v="27/jul"/>
          <s v="28/jul"/>
          <s v="29/jul"/>
          <s v="30/jul"/>
          <s v="31/jul"/>
          <s v="01/ago"/>
          <s v="02/ago"/>
          <s v="03/ago"/>
          <s v="04/ago"/>
          <s v="05/ago"/>
          <s v="06/ago"/>
          <s v="07/ago"/>
          <s v="08/ago"/>
          <s v="09/ago"/>
          <s v="10/ago"/>
          <s v="11/ago"/>
          <s v="12/ago"/>
          <s v="13/ago"/>
          <s v="14/ago"/>
          <s v="15/ago"/>
          <s v="16/ago"/>
          <s v="17/ago"/>
          <s v="18/ago"/>
          <s v="19/ago"/>
          <s v="20/ago"/>
          <s v="21/ago"/>
          <s v="22/ago"/>
          <s v="23/ago"/>
          <s v="24/ago"/>
          <s v="25/ago"/>
          <s v="26/ago"/>
          <s v="27/ago"/>
          <s v="28/ago"/>
          <s v="29/ago"/>
          <s v="30/ago"/>
          <s v="31/ago"/>
          <s v="01/set"/>
          <s v="02/set"/>
          <s v="03/set"/>
          <s v="04/set"/>
          <s v="05/set"/>
          <s v="06/set"/>
          <s v="07/set"/>
          <s v="08/set"/>
          <s v="09/set"/>
          <s v="10/set"/>
          <s v="11/set"/>
          <s v="12/set"/>
          <s v="13/set"/>
          <s v="14/set"/>
          <s v="15/set"/>
          <s v="16/set"/>
          <s v="17/set"/>
          <s v="18/set"/>
          <s v="19/set"/>
          <s v="20/set"/>
          <s v="21/set"/>
          <s v="22/set"/>
          <s v="23/set"/>
          <s v="24/set"/>
          <s v="25/set"/>
          <s v="26/set"/>
          <s v="27/set"/>
          <s v="28/set"/>
          <s v="29/set"/>
          <s v="30/set"/>
          <s v="01/out"/>
          <s v="02/out"/>
          <s v="03/out"/>
          <s v="04/out"/>
          <s v="05/out"/>
          <s v="06/out"/>
          <s v="07/out"/>
          <s v="08/out"/>
          <s v="09/out"/>
          <s v="10/out"/>
          <s v="11/out"/>
          <s v="12/out"/>
          <s v="13/out"/>
          <s v="14/out"/>
          <s v="15/out"/>
          <s v="16/out"/>
          <s v="17/out"/>
          <s v="18/out"/>
          <s v="19/out"/>
          <s v="20/out"/>
          <s v="21/out"/>
          <s v="22/out"/>
          <s v="23/out"/>
          <s v="24/out"/>
          <s v="25/out"/>
          <s v="26/out"/>
          <s v="27/out"/>
          <s v="28/out"/>
          <s v="29/out"/>
          <s v="30/out"/>
          <s v="31/out"/>
          <s v="01/nov"/>
          <s v="02/nov"/>
          <s v="03/nov"/>
          <s v="04/nov"/>
          <s v="05/nov"/>
          <s v="06/nov"/>
          <s v="07/nov"/>
          <s v="08/nov"/>
          <s v="09/nov"/>
          <s v="10/nov"/>
          <s v="11/nov"/>
          <s v="12/nov"/>
          <s v="13/nov"/>
          <s v="14/nov"/>
          <s v="15/nov"/>
          <s v="16/nov"/>
          <s v="17/nov"/>
          <s v="18/nov"/>
          <s v="19/nov"/>
          <s v="20/nov"/>
          <s v="21/nov"/>
          <s v="22/nov"/>
          <s v="23/nov"/>
          <s v="24/nov"/>
          <s v="25/nov"/>
          <s v="26/nov"/>
          <s v="27/nov"/>
          <s v="28/nov"/>
          <s v="29/nov"/>
          <s v="30/nov"/>
          <s v="01/dez"/>
          <s v="02/dez"/>
          <s v="03/dez"/>
          <s v="04/dez"/>
          <s v="05/dez"/>
          <s v="06/dez"/>
          <s v="07/dez"/>
          <s v="08/dez"/>
          <s v="09/dez"/>
          <s v="10/dez"/>
          <s v="11/dez"/>
          <s v="12/dez"/>
          <s v="13/dez"/>
          <s v="14/dez"/>
          <s v="15/dez"/>
          <s v="16/dez"/>
          <s v="17/dez"/>
          <s v="18/dez"/>
          <s v="19/dez"/>
          <s v="20/dez"/>
          <s v="21/dez"/>
          <s v="22/dez"/>
          <s v="23/dez"/>
          <s v="24/dez"/>
          <s v="25/dez"/>
          <s v="26/dez"/>
          <s v="27/dez"/>
          <s v="28/dez"/>
          <s v="29/dez"/>
          <s v="30/dez"/>
          <s v="31/dez"/>
          <s v="&gt;05/10/2025"/>
        </groupItems>
      </fieldGroup>
    </cacheField>
    <cacheField name="Meses (Data documento)" numFmtId="0" databaseField="0">
      <fieldGroup base="0">
        <rangePr groupBy="months" startDate="2025-01-18T00:00:00" endDate="2025-10-05T00:00:00"/>
        <groupItems count="14">
          <s v="&lt;18/01/2025"/>
          <s v="jan"/>
          <s v="fev"/>
          <s v="mar"/>
          <s v="abr"/>
          <s v="mai"/>
          <s v="jun"/>
          <s v="jul"/>
          <s v="ago"/>
          <s v="set"/>
          <s v="out"/>
          <s v="nov"/>
          <s v="dez"/>
          <s v="&gt;05/10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5">
  <r>
    <x v="0"/>
    <x v="0"/>
    <x v="0"/>
    <s v="FT A/4404"/>
    <m/>
    <n v="10"/>
    <s v="SIM"/>
    <n v="0.23"/>
    <m/>
    <m/>
    <s v="Numerário"/>
    <m/>
    <m/>
    <n v="0"/>
    <n v="1.87"/>
  </r>
  <r>
    <x v="1"/>
    <x v="1"/>
    <x v="1"/>
    <s v="FT 000000522"/>
    <m/>
    <n v="68.83"/>
    <s v="SIM"/>
    <n v="0.23"/>
    <m/>
    <m/>
    <s v="Numerário"/>
    <m/>
    <m/>
    <n v="0"/>
    <n v="12.871"/>
  </r>
  <r>
    <x v="2"/>
    <x v="2"/>
    <x v="2"/>
    <s v="FT 000380"/>
    <m/>
    <n v="22.11"/>
    <s v="SIM"/>
    <n v="0.23"/>
    <m/>
    <m/>
    <s v="Numerário"/>
    <m/>
    <m/>
    <n v="0"/>
    <n v="4.1340000000000003"/>
  </r>
  <r>
    <x v="3"/>
    <x v="3"/>
    <x v="3"/>
    <s v="FT 37548073"/>
    <m/>
    <n v="20.2"/>
    <s v="SIM"/>
    <n v="0.23"/>
    <m/>
    <m/>
    <s v="Numerário"/>
    <m/>
    <m/>
    <n v="0"/>
    <n v="3.7770000000000001"/>
  </r>
  <r>
    <x v="4"/>
    <x v="4"/>
    <x v="4"/>
    <s v="FT 002/304421"/>
    <m/>
    <n v="9.26"/>
    <s v="SIM"/>
    <n v="0.23"/>
    <m/>
    <m/>
    <s v="Numerário"/>
    <m/>
    <m/>
    <n v="0"/>
    <n v="1.732"/>
  </r>
  <r>
    <x v="5"/>
    <x v="4"/>
    <x v="5"/>
    <s v="FS MTDS/30163"/>
    <m/>
    <n v="30.3"/>
    <s v="SIM"/>
    <n v="0.23"/>
    <m/>
    <m/>
    <s v="Numerário"/>
    <m/>
    <m/>
    <n v="0"/>
    <n v="5.6660000000000004"/>
  </r>
  <r>
    <x v="6"/>
    <x v="4"/>
    <x v="6"/>
    <s v="FS 112/87570"/>
    <m/>
    <n v="26.8"/>
    <s v="SIM"/>
    <n v="0.23"/>
    <m/>
    <m/>
    <s v="Numerário"/>
    <m/>
    <m/>
    <n v="0"/>
    <n v="5.0110000000000001"/>
  </r>
  <r>
    <x v="7"/>
    <x v="5"/>
    <x v="7"/>
    <s v="NC "/>
    <n v="128.43"/>
    <m/>
    <s v="NÃO"/>
    <m/>
    <m/>
    <m/>
    <s v="BPI Empresa"/>
    <m/>
    <m/>
    <n v="0"/>
    <n v="0"/>
  </r>
  <r>
    <x v="8"/>
    <x v="6"/>
    <x v="8"/>
    <s v="FT BR2025/000999041"/>
    <m/>
    <n v="113"/>
    <s v="SIM"/>
    <n v="0.23"/>
    <m/>
    <m/>
    <s v="BPI Empresa"/>
    <m/>
    <m/>
    <n v="0"/>
    <n v="21.13"/>
  </r>
  <r>
    <x v="9"/>
    <x v="7"/>
    <x v="9"/>
    <s v="FT FAC 005261"/>
    <m/>
    <n v="11.28"/>
    <s v="SIM"/>
    <n v="0.23"/>
    <m/>
    <m/>
    <s v="Conta pessoal"/>
    <m/>
    <m/>
    <n v="0"/>
    <n v="2.109"/>
  </r>
  <r>
    <x v="10"/>
    <x v="8"/>
    <x v="10"/>
    <s v="FT 2025/1"/>
    <n v="5450"/>
    <m/>
    <s v="SIM"/>
    <n v="0.23"/>
    <m/>
    <m/>
    <s v="BPI Empresa"/>
    <m/>
    <m/>
    <n v="1019.106"/>
    <n v="0"/>
  </r>
  <r>
    <x v="11"/>
    <x v="1"/>
    <x v="1"/>
    <s v="FT 000002063"/>
    <m/>
    <n v="48.62"/>
    <s v="SIM"/>
    <n v="0.23"/>
    <m/>
    <m/>
    <s v="Numerário"/>
    <m/>
    <m/>
    <n v="0"/>
    <n v="9.0920000000000005"/>
  </r>
  <r>
    <x v="12"/>
    <x v="0"/>
    <x v="0"/>
    <s v="FT A/4442"/>
    <m/>
    <n v="10"/>
    <s v="SIM"/>
    <n v="0.23"/>
    <m/>
    <m/>
    <s v="Numerário"/>
    <m/>
    <m/>
    <n v="0"/>
    <n v="1.87"/>
  </r>
  <r>
    <x v="13"/>
    <x v="9"/>
    <x v="11"/>
    <s v="FT 1 008122448/0182365"/>
    <m/>
    <n v="7.52"/>
    <s v="SIM"/>
    <n v="0.23"/>
    <m/>
    <m/>
    <s v="BPI Empresa"/>
    <m/>
    <m/>
    <n v="0"/>
    <n v="1.4059999999999999"/>
  </r>
  <r>
    <x v="14"/>
    <x v="4"/>
    <x v="5"/>
    <s v="FS MTDS/6507"/>
    <m/>
    <n v="29.9"/>
    <s v="SIM"/>
    <n v="0.23"/>
    <m/>
    <m/>
    <s v="Numerário"/>
    <m/>
    <m/>
    <n v="0"/>
    <n v="5.5910000000000002"/>
  </r>
  <r>
    <x v="15"/>
    <x v="4"/>
    <x v="12"/>
    <s v="FR 70114/212"/>
    <m/>
    <n v="28.5"/>
    <s v="SIM"/>
    <n v="0.23"/>
    <m/>
    <m/>
    <m/>
    <m/>
    <m/>
    <n v="0"/>
    <n v="5.3289999999999997"/>
  </r>
  <r>
    <x v="16"/>
    <x v="4"/>
    <x v="13"/>
    <s v="FS 2A2501/2293"/>
    <m/>
    <n v="42.8"/>
    <s v="SIM"/>
    <n v="0.23"/>
    <m/>
    <m/>
    <s v="Numerário"/>
    <m/>
    <m/>
    <n v="0"/>
    <n v="8.0030000000000001"/>
  </r>
  <r>
    <x v="17"/>
    <x v="10"/>
    <x v="3"/>
    <s v="FT 37816430"/>
    <m/>
    <n v="38.4"/>
    <s v="SIM"/>
    <n v="0.23"/>
    <m/>
    <m/>
    <m/>
    <m/>
    <m/>
    <n v="0"/>
    <n v="7.18"/>
  </r>
  <r>
    <x v="15"/>
    <x v="4"/>
    <x v="14"/>
    <s v="FT 1A2501E25/589"/>
    <m/>
    <n v="21.36"/>
    <s v="SIM"/>
    <n v="0.23"/>
    <m/>
    <m/>
    <m/>
    <m/>
    <m/>
    <n v="0"/>
    <n v="3.9940000000000002"/>
  </r>
  <r>
    <x v="18"/>
    <x v="11"/>
    <x v="15"/>
    <s v="FT F225FPOS2/9242"/>
    <m/>
    <n v="35.47"/>
    <s v="SIM"/>
    <n v="0.23"/>
    <m/>
    <m/>
    <m/>
    <m/>
    <m/>
    <n v="0"/>
    <n v="6.633"/>
  </r>
  <r>
    <x v="18"/>
    <x v="11"/>
    <x v="15"/>
    <s v="FT F225FPOS2/9242"/>
    <m/>
    <n v="54.83"/>
    <s v="SIM"/>
    <n v="0.06"/>
    <m/>
    <m/>
    <m/>
    <m/>
    <m/>
    <n v="0"/>
    <n v="3.1040000000000001"/>
  </r>
  <r>
    <x v="19"/>
    <x v="12"/>
    <x v="16"/>
    <s v="FS 2025A8/520"/>
    <m/>
    <n v="256.3"/>
    <s v="SIM"/>
    <n v="0.23"/>
    <m/>
    <m/>
    <s v="Numerário"/>
    <m/>
    <m/>
    <n v="0"/>
    <n v="47.926000000000002"/>
  </r>
  <r>
    <x v="20"/>
    <x v="13"/>
    <x v="15"/>
    <s v="FT FS225 FPOS2/12927"/>
    <m/>
    <n v="9.17"/>
    <s v="SIM"/>
    <n v="0.06"/>
    <m/>
    <m/>
    <s v="BPI Empresa"/>
    <m/>
    <m/>
    <n v="0"/>
    <n v="0.51900000000000002"/>
  </r>
  <r>
    <x v="21"/>
    <x v="14"/>
    <x v="17"/>
    <s v="FT FS ARU227/067033"/>
    <m/>
    <n v="12.87"/>
    <s v="SIM"/>
    <n v="0.06"/>
    <m/>
    <m/>
    <s v="BPI Empresa"/>
    <m/>
    <m/>
    <n v="0"/>
    <n v="0.72799999999999998"/>
  </r>
  <r>
    <x v="22"/>
    <x v="14"/>
    <x v="17"/>
    <s v="FT FS ARU227/016340"/>
    <m/>
    <n v="100"/>
    <s v="NÃO"/>
    <m/>
    <m/>
    <m/>
    <s v="BPI Empresa"/>
    <m/>
    <m/>
    <n v="0"/>
    <n v="0"/>
  </r>
  <r>
    <x v="23"/>
    <x v="4"/>
    <x v="12"/>
    <s v="FT FS70114/4481"/>
    <m/>
    <n v="46.88"/>
    <s v="SIM"/>
    <n v="0.23"/>
    <m/>
    <m/>
    <s v="Numerário"/>
    <m/>
    <m/>
    <n v="0"/>
    <n v="8.766"/>
  </r>
  <r>
    <x v="24"/>
    <x v="15"/>
    <x v="18"/>
    <m/>
    <m/>
    <n v="-50"/>
    <s v="NÃO"/>
    <m/>
    <m/>
    <m/>
    <s v="BPI Empresa"/>
    <m/>
    <m/>
    <n v="0"/>
    <n v="0"/>
  </r>
  <r>
    <x v="25"/>
    <x v="16"/>
    <x v="2"/>
    <s v="FT 20250605601/002612"/>
    <m/>
    <n v="8.99"/>
    <s v="SIM"/>
    <n v="0.23"/>
    <m/>
    <m/>
    <s v="Numerário"/>
    <m/>
    <m/>
    <n v="0"/>
    <n v="1.681"/>
  </r>
  <r>
    <x v="26"/>
    <x v="7"/>
    <x v="19"/>
    <s v="FA FAC3670462025/0010337"/>
    <m/>
    <n v="68.69"/>
    <s v="SIM"/>
    <n v="0.23"/>
    <m/>
    <m/>
    <s v="Numerário"/>
    <m/>
    <m/>
    <n v="0"/>
    <n v="12.843999999999999"/>
  </r>
  <r>
    <x v="25"/>
    <x v="4"/>
    <x v="20"/>
    <s v="FT FS 2025014801A/42796"/>
    <m/>
    <n v="22.75"/>
    <s v="SIM"/>
    <n v="0.23"/>
    <m/>
    <m/>
    <s v="Numerário"/>
    <m/>
    <m/>
    <n v="0"/>
    <n v="4.2539999999999996"/>
  </r>
  <r>
    <x v="27"/>
    <x v="4"/>
    <x v="21"/>
    <s v="FT FS1A2501/799"/>
    <m/>
    <n v="40.700000000000003"/>
    <s v="SIM"/>
    <n v="0.23"/>
    <m/>
    <m/>
    <s v="Numerário"/>
    <m/>
    <m/>
    <n v="0"/>
    <n v="7.6109999999999998"/>
  </r>
  <r>
    <x v="27"/>
    <x v="6"/>
    <x v="8"/>
    <s v="DOC 008.285.435/04/2025"/>
    <m/>
    <n v="60.72"/>
    <s v="SIM"/>
    <n v="0.23"/>
    <m/>
    <m/>
    <m/>
    <m/>
    <m/>
    <n v="0"/>
    <n v="11.353999999999999"/>
  </r>
  <r>
    <x v="28"/>
    <x v="17"/>
    <x v="22"/>
    <s v="FT FT252C031225/2850"/>
    <m/>
    <n v="18.59"/>
    <s v="SIM"/>
    <n v="0.23"/>
    <m/>
    <m/>
    <s v="Numerário"/>
    <m/>
    <m/>
    <n v="0"/>
    <n v="3.476"/>
  </r>
  <r>
    <x v="29"/>
    <x v="4"/>
    <x v="5"/>
    <s v="FT FS MTDS/37925"/>
    <m/>
    <n v="36.200000000000003"/>
    <s v="SIM"/>
    <n v="0.23"/>
    <m/>
    <m/>
    <s v="Numerário"/>
    <m/>
    <m/>
    <n v="0"/>
    <n v="6.7690000000000001"/>
  </r>
  <r>
    <x v="30"/>
    <x v="4"/>
    <x v="4"/>
    <s v="FT FS 002/311905"/>
    <m/>
    <n v="15.84"/>
    <s v="SIM"/>
    <n v="0.23"/>
    <m/>
    <m/>
    <s v="Numerário"/>
    <m/>
    <m/>
    <n v="0"/>
    <n v="2.9620000000000002"/>
  </r>
  <r>
    <x v="31"/>
    <x v="18"/>
    <x v="23"/>
    <s v="FT FET008/0000035037"/>
    <m/>
    <n v="23.29"/>
    <s v="SIM"/>
    <n v="0.23"/>
    <m/>
    <m/>
    <s v="Numerário"/>
    <m/>
    <m/>
    <n v="0"/>
    <n v="4.3550000000000004"/>
  </r>
  <r>
    <x v="32"/>
    <x v="4"/>
    <x v="24"/>
    <s v="FT R101/00127819"/>
    <m/>
    <n v="12.5"/>
    <s v="SIM"/>
    <n v="0.23"/>
    <m/>
    <m/>
    <s v="Numerário"/>
    <m/>
    <m/>
    <n v="0"/>
    <n v="2.3370000000000002"/>
  </r>
  <r>
    <x v="33"/>
    <x v="4"/>
    <x v="25"/>
    <s v="FT FT 101/000652762"/>
    <m/>
    <n v="65.849999999999994"/>
    <s v="SIM"/>
    <n v="0.23"/>
    <m/>
    <m/>
    <s v="Numerário"/>
    <m/>
    <m/>
    <n v="0"/>
    <n v="12.313000000000001"/>
  </r>
  <r>
    <x v="34"/>
    <x v="4"/>
    <x v="26"/>
    <s v="FT FT 2A2501/4386"/>
    <m/>
    <n v="24.5"/>
    <s v="SIM"/>
    <n v="0.23"/>
    <m/>
    <m/>
    <s v="BPI Empresa"/>
    <m/>
    <m/>
    <n v="0"/>
    <n v="4.5810000000000004"/>
  </r>
  <r>
    <x v="35"/>
    <x v="19"/>
    <x v="27"/>
    <s v="FT FT 166106/00077330"/>
    <m/>
    <n v="85"/>
    <s v="SIM"/>
    <n v="0.23"/>
    <m/>
    <m/>
    <s v="BPI Empresa"/>
    <m/>
    <m/>
    <n v="0"/>
    <n v="15.894"/>
  </r>
  <r>
    <x v="35"/>
    <x v="20"/>
    <x v="17"/>
    <s v="FT AR060/016640"/>
    <m/>
    <n v="50"/>
    <s v="NÃO"/>
    <m/>
    <m/>
    <m/>
    <s v="BPI Empresa"/>
    <m/>
    <m/>
    <n v="0"/>
    <n v="0"/>
  </r>
  <r>
    <x v="35"/>
    <x v="20"/>
    <x v="17"/>
    <s v="FT AR060/016641"/>
    <m/>
    <n v="50"/>
    <s v="NÃO"/>
    <m/>
    <m/>
    <m/>
    <s v="BPI Empresa"/>
    <m/>
    <m/>
    <n v="0"/>
    <n v="0"/>
  </r>
  <r>
    <x v="36"/>
    <x v="21"/>
    <x v="15"/>
    <s v="FT  F225 FPOS2/30209"/>
    <m/>
    <n v="91.85"/>
    <s v="SIM"/>
    <n v="0.06"/>
    <m/>
    <m/>
    <m/>
    <m/>
    <m/>
    <n v="0"/>
    <n v="5.1989999999999998"/>
  </r>
  <r>
    <x v="36"/>
    <x v="22"/>
    <x v="2"/>
    <s v="FT 20250020801/017950"/>
    <m/>
    <n v="127.75"/>
    <s v="SIM"/>
    <n v="0.23"/>
    <m/>
    <m/>
    <m/>
    <m/>
    <m/>
    <n v="0"/>
    <n v="23.888000000000002"/>
  </r>
  <r>
    <x v="37"/>
    <x v="23"/>
    <x v="28"/>
    <s v="FR ATSIRE01FR/34"/>
    <m/>
    <n v="144"/>
    <s v="NÃO"/>
    <m/>
    <m/>
    <m/>
    <m/>
    <m/>
    <m/>
    <n v="0"/>
    <n v="0"/>
  </r>
  <r>
    <x v="38"/>
    <x v="4"/>
    <x v="29"/>
    <s v="FT FS TRA20241/77290"/>
    <m/>
    <n v="23.4"/>
    <s v="SIM"/>
    <n v="0.23"/>
    <m/>
    <m/>
    <s v="BPI Empresa"/>
    <m/>
    <m/>
    <n v="0"/>
    <n v="4.3760000000000003"/>
  </r>
  <r>
    <x v="39"/>
    <x v="24"/>
    <x v="30"/>
    <s v="FT FR 2.1/13724"/>
    <m/>
    <n v="70.08"/>
    <s v="SIM"/>
    <n v="0.23"/>
    <m/>
    <m/>
    <s v="BPI Empresa"/>
    <m/>
    <m/>
    <n v="0"/>
    <n v="13.103999999999999"/>
  </r>
  <r>
    <x v="40"/>
    <x v="20"/>
    <x v="31"/>
    <s v="FT FS KRE013/085076"/>
    <m/>
    <n v="80"/>
    <s v="NÃO"/>
    <m/>
    <m/>
    <m/>
    <s v="BPI Empresa"/>
    <m/>
    <m/>
    <n v="0"/>
    <n v="0"/>
  </r>
  <r>
    <x v="41"/>
    <x v="6"/>
    <x v="8"/>
    <s v="FT FR BR2025/008214889"/>
    <m/>
    <n v="32.550000000000004"/>
    <s v="SIM"/>
    <m/>
    <m/>
    <m/>
    <s v="BPI Empresa"/>
    <m/>
    <m/>
    <n v="0"/>
    <n v="0"/>
  </r>
  <r>
    <x v="42"/>
    <x v="4"/>
    <x v="32"/>
    <s v="FT FS035/1511037"/>
    <m/>
    <n v="7"/>
    <s v="SIM"/>
    <n v="0.23"/>
    <m/>
    <m/>
    <m/>
    <m/>
    <m/>
    <n v="0"/>
    <n v="1.3089999999999999"/>
  </r>
  <r>
    <x v="43"/>
    <x v="7"/>
    <x v="33"/>
    <s v="FT FS 12/5908"/>
    <m/>
    <n v="20"/>
    <s v="SIM"/>
    <n v="0.23"/>
    <m/>
    <m/>
    <m/>
    <m/>
    <m/>
    <n v="0"/>
    <n v="3.74"/>
  </r>
  <r>
    <x v="44"/>
    <x v="25"/>
    <x v="34"/>
    <s v="FTR 114/12454"/>
    <m/>
    <n v="11.7"/>
    <s v="SIM"/>
    <n v="0.23"/>
    <m/>
    <m/>
    <s v="BPI Empresa"/>
    <m/>
    <m/>
    <n v="0"/>
    <n v="2.1880000000000002"/>
  </r>
  <r>
    <x v="45"/>
    <x v="26"/>
    <x v="35"/>
    <s v="FT FR E016102.1/019815"/>
    <m/>
    <n v="18.93"/>
    <s v="SIM"/>
    <n v="0.23"/>
    <m/>
    <m/>
    <s v="BPI Empresa"/>
    <m/>
    <m/>
    <n v="0"/>
    <n v="3.54"/>
  </r>
  <r>
    <x v="46"/>
    <x v="4"/>
    <x v="36"/>
    <s v="FT FS 001/204609"/>
    <m/>
    <n v="19.2"/>
    <s v="SIM"/>
    <n v="0.23"/>
    <m/>
    <m/>
    <m/>
    <m/>
    <m/>
    <n v="0"/>
    <n v="3.59"/>
  </r>
  <r>
    <x v="47"/>
    <x v="4"/>
    <x v="37"/>
    <s v="FT FT 2/106093"/>
    <m/>
    <n v="52.5"/>
    <s v="SIM"/>
    <n v="0.23"/>
    <m/>
    <m/>
    <s v="Numerário"/>
    <m/>
    <m/>
    <n v="0"/>
    <n v="9.8170000000000002"/>
  </r>
  <r>
    <x v="48"/>
    <x v="27"/>
    <x v="38"/>
    <s v="FT 1 2500/000010"/>
    <m/>
    <n v="3198"/>
    <s v="SIM"/>
    <n v="0.23"/>
    <n v="598"/>
    <m/>
    <s v="BPI Empresa"/>
    <m/>
    <m/>
    <n v="0"/>
    <n v="598"/>
  </r>
  <r>
    <x v="49"/>
    <x v="28"/>
    <x v="39"/>
    <s v="FT 2025/06"/>
    <n v="3198"/>
    <m/>
    <s v="SIM"/>
    <n v="0.23"/>
    <m/>
    <m/>
    <m/>
    <m/>
    <m/>
    <n v="598"/>
    <n v="0"/>
  </r>
  <r>
    <x v="50"/>
    <x v="28"/>
    <x v="39"/>
    <s v="FT 2025/02"/>
    <n v="1526.43"/>
    <m/>
    <s v="SIM"/>
    <n v="0.23"/>
    <m/>
    <m/>
    <s v="BPI Empresa"/>
    <m/>
    <m/>
    <n v="285.43"/>
    <n v="0"/>
  </r>
  <r>
    <x v="51"/>
    <x v="28"/>
    <x v="39"/>
    <s v="FT 2025/05"/>
    <n v="892.67"/>
    <m/>
    <s v="SIM"/>
    <n v="0.23"/>
    <m/>
    <m/>
    <s v="BPI Empresa"/>
    <m/>
    <m/>
    <n v="166.922"/>
    <n v="0"/>
  </r>
  <r>
    <x v="52"/>
    <x v="28"/>
    <x v="39"/>
    <s v="FT 2025/07"/>
    <n v="2367.75"/>
    <m/>
    <s v="SIM"/>
    <n v="0.23"/>
    <m/>
    <m/>
    <s v="BPI Empresa"/>
    <m/>
    <m/>
    <n v="442.75"/>
    <n v="0"/>
  </r>
  <r>
    <x v="53"/>
    <x v="6"/>
    <x v="8"/>
    <s v="014.259.635/07/2025"/>
    <m/>
    <n v="150.19"/>
    <s v="SIM"/>
    <n v="0.23"/>
    <m/>
    <m/>
    <s v="BPI Empresa"/>
    <m/>
    <m/>
    <n v="0"/>
    <n v="28.084"/>
  </r>
  <r>
    <x v="52"/>
    <x v="29"/>
    <x v="40"/>
    <s v="FT FR2025/003880689"/>
    <m/>
    <n v="35.21"/>
    <s v="NÃO"/>
    <m/>
    <m/>
    <m/>
    <m/>
    <m/>
    <m/>
    <n v="0"/>
    <n v="0"/>
  </r>
  <r>
    <x v="54"/>
    <x v="30"/>
    <x v="41"/>
    <m/>
    <m/>
    <n v="31.79"/>
    <s v="NÃO"/>
    <m/>
    <m/>
    <m/>
    <m/>
    <m/>
    <m/>
    <n v="0"/>
    <n v="0"/>
  </r>
  <r>
    <x v="46"/>
    <x v="15"/>
    <x v="18"/>
    <m/>
    <m/>
    <n v="200"/>
    <s v="NÃO"/>
    <m/>
    <m/>
    <m/>
    <m/>
    <m/>
    <m/>
    <n v="0"/>
    <n v="0"/>
  </r>
  <r>
    <x v="52"/>
    <x v="4"/>
    <x v="36"/>
    <s v="FT FS 001/207997"/>
    <m/>
    <n v="8.6"/>
    <s v="SIM"/>
    <n v="0.23"/>
    <m/>
    <m/>
    <m/>
    <m/>
    <m/>
    <n v="0"/>
    <n v="1.6080000000000001"/>
  </r>
  <r>
    <x v="55"/>
    <x v="14"/>
    <x v="42"/>
    <s v="FT FAZ 1032025000/55633"/>
    <m/>
    <n v="56"/>
    <s v="NÃO"/>
    <m/>
    <m/>
    <m/>
    <m/>
    <m/>
    <m/>
    <n v="0"/>
    <n v="0"/>
  </r>
  <r>
    <x v="56"/>
    <x v="4"/>
    <x v="43"/>
    <s v="FT FSC B/5234"/>
    <m/>
    <n v="14.9"/>
    <s v="SIM"/>
    <n v="0.23"/>
    <m/>
    <m/>
    <m/>
    <m/>
    <m/>
    <n v="0"/>
    <n v="2.786"/>
  </r>
  <r>
    <x v="57"/>
    <x v="4"/>
    <x v="4"/>
    <s v="FT FS 002/319206"/>
    <m/>
    <n v="14.01"/>
    <s v="SIM"/>
    <n v="0.23"/>
    <m/>
    <m/>
    <m/>
    <m/>
    <m/>
    <n v="0"/>
    <n v="2.62"/>
  </r>
  <r>
    <x v="58"/>
    <x v="31"/>
    <x v="44"/>
    <s v="FT FS 3120A/055355"/>
    <m/>
    <n v="674.98"/>
    <s v="SIM"/>
    <n v="0.23"/>
    <m/>
    <m/>
    <m/>
    <m/>
    <m/>
    <n v="0"/>
    <n v="126.21599999999999"/>
  </r>
  <r>
    <x v="58"/>
    <x v="32"/>
    <x v="45"/>
    <s v="FT FR 8117_101_2025/25990"/>
    <m/>
    <n v="230"/>
    <s v="SIM"/>
    <n v="0.23"/>
    <m/>
    <m/>
    <m/>
    <m/>
    <m/>
    <n v="0"/>
    <n v="43.008000000000003"/>
  </r>
  <r>
    <x v="59"/>
    <x v="4"/>
    <x v="4"/>
    <s v="FT FS 002/319909"/>
    <m/>
    <n v="17.28"/>
    <s v="SIM"/>
    <n v="0.23"/>
    <m/>
    <m/>
    <s v="Numerário"/>
    <m/>
    <m/>
    <n v="0"/>
    <n v="3.2309999999999999"/>
  </r>
  <r>
    <x v="60"/>
    <x v="33"/>
    <x v="46"/>
    <s v="FT FT 024007202508001/001310"/>
    <m/>
    <n v="49.99"/>
    <s v="SIM"/>
    <n v="0.23"/>
    <m/>
    <m/>
    <s v="Numerário"/>
    <m/>
    <m/>
    <n v="0"/>
    <n v="9.3480000000000008"/>
  </r>
  <r>
    <x v="61"/>
    <x v="4"/>
    <x v="14"/>
    <s v="FT FT 1A2501E25/13222"/>
    <m/>
    <n v="9.2100000000000009"/>
    <s v="SIM"/>
    <n v="0.23"/>
    <m/>
    <m/>
    <m/>
    <m/>
    <m/>
    <n v="0"/>
    <n v="1.722"/>
  </r>
  <r>
    <x v="61"/>
    <x v="28"/>
    <x v="39"/>
    <s v="FT 2025/08"/>
    <n v="3831.43"/>
    <m/>
    <s v="SIM"/>
    <n v="0.23"/>
    <m/>
    <m/>
    <s v="BPI Empresa"/>
    <m/>
    <m/>
    <n v="716.44600000000003"/>
    <n v="0"/>
  </r>
  <r>
    <x v="62"/>
    <x v="28"/>
    <x v="47"/>
    <s v="FT FR ATSIRE01FR/5"/>
    <m/>
    <n v="3831.43"/>
    <s v="SIM"/>
    <n v="0.23"/>
    <n v="716.45"/>
    <m/>
    <m/>
    <m/>
    <m/>
    <n v="0"/>
    <n v="716.44600000000003"/>
  </r>
  <r>
    <x v="63"/>
    <x v="34"/>
    <x v="17"/>
    <s v="FT ARU218/001128"/>
    <m/>
    <n v="44.07"/>
    <s v="SIM"/>
    <n v="0.23"/>
    <m/>
    <m/>
    <s v="BPI Empresa"/>
    <m/>
    <m/>
    <n v="0"/>
    <n v="8.2409999999999997"/>
  </r>
  <r>
    <x v="64"/>
    <x v="4"/>
    <x v="48"/>
    <s v="FT FR 23003/11284"/>
    <m/>
    <n v="29.63"/>
    <s v="SIM"/>
    <n v="0.23"/>
    <m/>
    <m/>
    <s v="BPI Empresa"/>
    <m/>
    <m/>
    <n v="0"/>
    <n v="5.5410000000000004"/>
  </r>
  <r>
    <x v="64"/>
    <x v="21"/>
    <x v="15"/>
    <s v="FT F225FPOS2/38600"/>
    <m/>
    <n v="30.79"/>
    <s v="SIM"/>
    <n v="0.23"/>
    <m/>
    <m/>
    <s v="BPI Empresa"/>
    <m/>
    <m/>
    <n v="0"/>
    <n v="5.7569999999999997"/>
  </r>
  <r>
    <x v="63"/>
    <x v="35"/>
    <x v="2"/>
    <s v="FT 20250605601/005990"/>
    <m/>
    <n v="1.56"/>
    <s v="SIM"/>
    <n v="0.23"/>
    <m/>
    <m/>
    <m/>
    <m/>
    <m/>
    <n v="0"/>
    <n v="0.29199999999999998"/>
  </r>
  <r>
    <x v="65"/>
    <x v="28"/>
    <x v="38"/>
    <s v="FT 1 2500/000011"/>
    <m/>
    <n v="3221.37"/>
    <s v="SIM"/>
    <n v="0.23"/>
    <n v="602.37"/>
    <m/>
    <s v="BPI Empresa"/>
    <m/>
    <m/>
    <n v="0"/>
    <n v="602.37"/>
  </r>
  <r>
    <x v="65"/>
    <x v="4"/>
    <x v="49"/>
    <s v="FT FS 110/43088"/>
    <m/>
    <n v="17.2"/>
    <s v="SIM"/>
    <n v="0.23"/>
    <m/>
    <m/>
    <s v="Numerário"/>
    <m/>
    <m/>
    <n v="0"/>
    <n v="3.2160000000000002"/>
  </r>
  <r>
    <x v="66"/>
    <x v="28"/>
    <x v="39"/>
    <s v="FT 2025/03"/>
    <n v="2872.05"/>
    <m/>
    <s v="SIM"/>
    <n v="0.23"/>
    <m/>
    <m/>
    <s v="BPI Empresa"/>
    <m/>
    <m/>
    <n v="537.04999999999995"/>
    <n v="0"/>
  </r>
  <r>
    <x v="67"/>
    <x v="28"/>
    <x v="39"/>
    <s v="FT 2025/09"/>
    <n v="3221.37"/>
    <m/>
    <s v="SIM"/>
    <n v="0.23"/>
    <m/>
    <m/>
    <s v="BPI Empresa"/>
    <m/>
    <m/>
    <n v="602.37"/>
    <n v="0"/>
  </r>
  <r>
    <x v="68"/>
    <x v="4"/>
    <x v="50"/>
    <s v="FT 75E2501/6944"/>
    <m/>
    <n v="24.3"/>
    <s v="SIM"/>
    <n v="0.23"/>
    <m/>
    <m/>
    <s v="Numerário"/>
    <m/>
    <m/>
    <n v="0"/>
    <n v="4.5439999999999996"/>
  </r>
  <r>
    <x v="69"/>
    <x v="36"/>
    <x v="51"/>
    <s v="FT FR 2025/29964"/>
    <m/>
    <n v="19.309999999999999"/>
    <s v="SIM"/>
    <n v="0.23"/>
    <m/>
    <m/>
    <s v="Numerário"/>
    <m/>
    <m/>
    <n v="0"/>
    <n v="3.6110000000000002"/>
  </r>
  <r>
    <x v="70"/>
    <x v="37"/>
    <x v="52"/>
    <s v="FT FT001788012025/000406"/>
    <m/>
    <n v="17.989999999999998"/>
    <s v="SIM"/>
    <n v="0.23"/>
    <m/>
    <m/>
    <s v="Numerário"/>
    <m/>
    <m/>
    <n v="0"/>
    <n v="3.3639999999999999"/>
  </r>
  <r>
    <x v="70"/>
    <x v="4"/>
    <x v="48"/>
    <s v="FT 23002/12277"/>
    <m/>
    <n v="21.99"/>
    <s v="SIM"/>
    <n v="0.23"/>
    <m/>
    <m/>
    <s v="Numerário"/>
    <m/>
    <m/>
    <n v="0"/>
    <n v="4.1120000000000001"/>
  </r>
  <r>
    <x v="71"/>
    <x v="21"/>
    <x v="15"/>
    <s v="FT F225 FPOS/42750"/>
    <m/>
    <n v="27.74"/>
    <s v="SIM"/>
    <n v="0.23"/>
    <m/>
    <m/>
    <s v="Numerário"/>
    <m/>
    <m/>
    <n v="0"/>
    <n v="5.1870000000000003"/>
  </r>
  <r>
    <x v="72"/>
    <x v="28"/>
    <x v="39"/>
    <s v="FT 2025/10"/>
    <n v="1594.39"/>
    <m/>
    <s v="SIM"/>
    <n v="0.23"/>
    <m/>
    <m/>
    <s v="BPI Empresa"/>
    <m/>
    <m/>
    <n v="298.13799999999998"/>
    <n v="0"/>
  </r>
  <r>
    <x v="72"/>
    <x v="14"/>
    <x v="17"/>
    <s v="FT ARU061/018020"/>
    <m/>
    <n v="100"/>
    <s v="NÃO"/>
    <m/>
    <m/>
    <m/>
    <s v="Numerário"/>
    <m/>
    <m/>
    <n v="0"/>
    <n v="0"/>
  </r>
  <r>
    <x v="73"/>
    <x v="21"/>
    <x v="15"/>
    <s v="F225 FPOS2/45046"/>
    <m/>
    <n v="48.45"/>
    <s v="SIM"/>
    <n v="0.06"/>
    <m/>
    <m/>
    <s v="BPI Empresa"/>
    <m/>
    <m/>
    <n v="0"/>
    <n v="2.742"/>
  </r>
  <r>
    <x v="74"/>
    <x v="14"/>
    <x v="17"/>
    <s v="FT ARU060/017069"/>
    <m/>
    <n v="100"/>
    <s v="NÃO"/>
    <m/>
    <m/>
    <m/>
    <s v="Numerário"/>
    <m/>
    <m/>
    <n v="0"/>
    <n v="0"/>
  </r>
  <r>
    <x v="75"/>
    <x v="28"/>
    <x v="38"/>
    <s v="FT 1 2500/000012"/>
    <m/>
    <n v="2568.2399999999998"/>
    <s v="SIM"/>
    <n v="0.23"/>
    <n v="488.24"/>
    <m/>
    <s v="BPI Empresa"/>
    <m/>
    <m/>
    <n v="0"/>
    <n v="480.24"/>
  </r>
  <r>
    <x v="76"/>
    <x v="38"/>
    <x v="53"/>
    <s v="FT FAC A/2025048765"/>
    <m/>
    <n v="7.5"/>
    <s v="SIM"/>
    <n v="0.23"/>
    <m/>
    <m/>
    <s v="Numerário"/>
    <m/>
    <m/>
    <n v="0"/>
    <n v="1.4019999999999999"/>
  </r>
  <r>
    <x v="77"/>
    <x v="3"/>
    <x v="3"/>
    <s v="FT 39077177"/>
    <m/>
    <n v="61.1"/>
    <s v="SIM"/>
    <n v="0.23"/>
    <m/>
    <m/>
    <s v="Numerário"/>
    <m/>
    <m/>
    <n v="0"/>
    <n v="11.425000000000001"/>
  </r>
  <r>
    <x v="77"/>
    <x v="14"/>
    <x v="17"/>
    <s v="FT ARU061/018080"/>
    <m/>
    <n v="100"/>
    <s v="NÃO"/>
    <m/>
    <m/>
    <m/>
    <s v="Numerário"/>
    <m/>
    <m/>
    <n v="0"/>
    <n v="0"/>
  </r>
  <r>
    <x v="78"/>
    <x v="28"/>
    <x v="39"/>
    <s v="FT 2025/11"/>
    <n v="2568.2449999999999"/>
    <m/>
    <s v="SIM"/>
    <n v="0.23"/>
    <m/>
    <m/>
    <s v="BPI Empresa"/>
    <m/>
    <m/>
    <n v="480.24099999999999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  <r>
    <x v="79"/>
    <x v="39"/>
    <x v="54"/>
    <m/>
    <m/>
    <m/>
    <m/>
    <m/>
    <m/>
    <m/>
    <m/>
    <m/>
    <m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5" applyNumberFormats="0" applyBorderFormats="0" applyFontFormats="0" applyPatternFormats="0" applyAlignmentFormats="0" applyWidthHeightFormats="1" dataCaption="Valores" updatedVersion="6" minRefreshableVersion="3" useAutoFormatting="1" itemPrintTitles="1" createdVersion="8" indent="0" outline="1" outlineData="1" multipleFieldFilters="0">
  <location ref="A3:C31" firstHeaderRow="0" firstDataRow="1" firstDataCol="1"/>
  <pivotFields count="17">
    <pivotField axis="axisRow" showAll="0">
      <items count="185">
        <item m="1" x="151"/>
        <item m="1" x="180"/>
        <item m="1" x="126"/>
        <item m="1" x="175"/>
        <item m="1" x="91"/>
        <item m="1" x="168"/>
        <item m="1" x="88"/>
        <item m="1" x="174"/>
        <item m="1" x="121"/>
        <item m="1" x="93"/>
        <item m="1" x="171"/>
        <item m="1" x="144"/>
        <item m="1" x="118"/>
        <item m="1" x="90"/>
        <item m="1" x="115"/>
        <item m="1" x="166"/>
        <item m="1" x="143"/>
        <item m="1" x="113"/>
        <item m="1" x="87"/>
        <item m="1" x="164"/>
        <item m="1" x="112"/>
        <item m="1" x="83"/>
        <item m="1" x="161"/>
        <item m="1" x="138"/>
        <item m="1" x="80"/>
        <item m="1" x="157"/>
        <item m="1" x="135"/>
        <item m="1" x="106"/>
        <item m="1" x="181"/>
        <item m="1" x="85"/>
        <item m="1" x="162"/>
        <item m="1" x="140"/>
        <item m="1" x="111"/>
        <item m="1" x="82"/>
        <item m="1" x="159"/>
        <item m="1" x="108"/>
        <item m="1" x="183"/>
        <item m="1" x="155"/>
        <item m="1" x="102"/>
        <item m="1" x="148"/>
        <item m="1" x="131"/>
        <item m="1" x="100"/>
        <item m="1" x="178"/>
        <item m="1" x="128"/>
        <item m="1" x="150"/>
        <item m="1" x="99"/>
        <item m="1" x="125"/>
        <item m="1" x="97"/>
        <item m="1" x="95"/>
        <item m="1" x="173"/>
        <item m="1" x="120"/>
        <item m="1" x="92"/>
        <item m="1" x="117"/>
        <item m="1" x="169"/>
        <item m="1" x="124"/>
        <item m="1" x="96"/>
        <item m="1" x="122"/>
        <item m="1" x="94"/>
        <item m="1" x="172"/>
        <item m="1" x="145"/>
        <item m="1" x="119"/>
        <item m="1" x="170"/>
        <item m="1" x="116"/>
        <item m="1" x="89"/>
        <item m="1" x="167"/>
        <item m="1" x="114"/>
        <item m="1" x="165"/>
        <item m="1" x="141"/>
        <item m="1" x="84"/>
        <item m="1" x="139"/>
        <item m="1" x="110"/>
        <item m="1" x="81"/>
        <item m="1" x="158"/>
        <item m="1" x="136"/>
        <item m="1" x="107"/>
        <item m="1" x="182"/>
        <item m="1" x="154"/>
        <item m="1" x="142"/>
        <item m="1" x="86"/>
        <item m="1" x="163"/>
        <item m="1" x="160"/>
        <item m="1" x="137"/>
        <item m="1" x="109"/>
        <item m="1" x="156"/>
        <item m="1" x="134"/>
        <item m="1" x="153"/>
        <item m="1" x="105"/>
        <item m="1" x="132"/>
        <item m="1" x="103"/>
        <item m="1" x="149"/>
        <item m="1" x="101"/>
        <item m="1" x="179"/>
        <item m="1" x="129"/>
        <item m="1" x="176"/>
        <item m="1" x="152"/>
        <item m="1" x="133"/>
        <item m="1" x="104"/>
        <item m="1" x="130"/>
        <item m="1" x="177"/>
        <item m="1" x="127"/>
        <item m="1" x="147"/>
        <item m="1" x="98"/>
        <item m="1" x="146"/>
        <item m="1" x="123"/>
        <item x="7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50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t="default"/>
      </items>
    </pivotField>
    <pivotField axis="axisRow" showAll="0">
      <items count="89">
        <item m="1" x="64"/>
        <item m="1" x="73"/>
        <item m="1" x="47"/>
        <item m="1" x="54"/>
        <item m="1" x="77"/>
        <item x="10"/>
        <item m="1" x="40"/>
        <item m="1" x="52"/>
        <item m="1" x="74"/>
        <item m="1" x="82"/>
        <item m="1" x="70"/>
        <item m="1" x="76"/>
        <item m="1" x="78"/>
        <item x="7"/>
        <item m="1" x="62"/>
        <item m="1" x="79"/>
        <item m="1" x="59"/>
        <item h="1" x="1"/>
        <item m="1" x="72"/>
        <item m="1" x="66"/>
        <item m="1" x="87"/>
        <item m="1" x="57"/>
        <item m="1" x="84"/>
        <item x="14"/>
        <item m="1" x="61"/>
        <item m="1" x="75"/>
        <item m="1" x="43"/>
        <item m="1" x="55"/>
        <item m="1" x="65"/>
        <item m="1" x="71"/>
        <item m="1" x="51"/>
        <item x="21"/>
        <item m="1" x="63"/>
        <item m="1" x="85"/>
        <item m="1" x="45"/>
        <item m="1" x="44"/>
        <item m="1" x="42"/>
        <item m="1" x="67"/>
        <item m="1" x="48"/>
        <item x="28"/>
        <item m="1" x="83"/>
        <item m="1" x="53"/>
        <item m="1" x="69"/>
        <item m="1" x="41"/>
        <item h="1" x="4"/>
        <item m="1" x="80"/>
        <item m="1" x="68"/>
        <item m="1" x="86"/>
        <item m="1" x="50"/>
        <item m="1" x="60"/>
        <item m="1" x="49"/>
        <item m="1" x="46"/>
        <item x="18"/>
        <item m="1" x="58"/>
        <item m="1" x="81"/>
        <item m="1" x="56"/>
        <item x="39"/>
        <item h="1" x="0"/>
        <item h="1" x="2"/>
        <item h="1" x="3"/>
        <item h="1" x="5"/>
        <item h="1" x="6"/>
        <item h="1" x="8"/>
        <item h="1" x="9"/>
        <item h="1" x="11"/>
        <item h="1" x="12"/>
        <item h="1" x="13"/>
        <item h="1" x="15"/>
        <item h="1" x="16"/>
        <item h="1" x="17"/>
        <item h="1" x="19"/>
        <item h="1" x="20"/>
        <item h="1" x="22"/>
        <item h="1" x="23"/>
        <item h="1" x="24"/>
        <item h="1" x="25"/>
        <item h="1" x="26"/>
        <item h="1" x="27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t="default"/>
      </items>
    </pivotField>
    <pivotField axis="axisRow" showAll="0">
      <items count="112">
        <item m="1" x="88"/>
        <item m="1" x="78"/>
        <item m="1" x="85"/>
        <item m="1" x="75"/>
        <item m="1" x="90"/>
        <item m="1" x="70"/>
        <item m="1" x="84"/>
        <item m="1" x="69"/>
        <item m="1" x="101"/>
        <item m="1" x="64"/>
        <item m="1" x="91"/>
        <item m="1" x="109"/>
        <item x="17"/>
        <item m="1" x="83"/>
        <item x="4"/>
        <item m="1" x="100"/>
        <item m="1" x="82"/>
        <item m="1" x="66"/>
        <item m="1" x="103"/>
        <item m="1" x="96"/>
        <item m="1" x="81"/>
        <item m="1" x="59"/>
        <item x="1"/>
        <item x="7"/>
        <item m="1" x="56"/>
        <item m="1" x="97"/>
        <item x="39"/>
        <item m="1" x="95"/>
        <item m="1" x="108"/>
        <item m="1" x="93"/>
        <item m="1" x="86"/>
        <item m="1" x="106"/>
        <item x="9"/>
        <item m="1" x="98"/>
        <item m="1" x="68"/>
        <item m="1" x="94"/>
        <item m="1" x="107"/>
        <item m="1" x="55"/>
        <item m="1" x="92"/>
        <item x="3"/>
        <item m="1" x="65"/>
        <item m="1" x="67"/>
        <item m="1" x="110"/>
        <item m="1" x="57"/>
        <item m="1" x="89"/>
        <item m="1" x="63"/>
        <item m="1" x="77"/>
        <item m="1" x="62"/>
        <item m="1" x="58"/>
        <item m="1" x="99"/>
        <item m="1" x="102"/>
        <item m="1" x="74"/>
        <item m="1" x="73"/>
        <item m="1" x="104"/>
        <item x="12"/>
        <item m="1" x="60"/>
        <item m="1" x="80"/>
        <item x="24"/>
        <item m="1" x="87"/>
        <item m="1" x="79"/>
        <item m="1" x="61"/>
        <item m="1" x="71"/>
        <item m="1" x="105"/>
        <item m="1" x="76"/>
        <item x="15"/>
        <item m="1" x="72"/>
        <item x="52"/>
        <item x="54"/>
        <item x="0"/>
        <item x="2"/>
        <item x="5"/>
        <item x="6"/>
        <item x="8"/>
        <item x="10"/>
        <item x="11"/>
        <item x="13"/>
        <item x="14"/>
        <item x="16"/>
        <item x="18"/>
        <item x="19"/>
        <item x="20"/>
        <item x="21"/>
        <item x="22"/>
        <item x="23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axis="axisRow" showAll="0">
      <items count="369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0"/>
        <item x="367"/>
        <item t="default"/>
      </items>
    </pivotField>
    <pivotField axis="axisRow" showAll="0">
      <items count="15">
        <item h="1" x="0"/>
        <item h="1" x="1"/>
        <item h="1" x="2"/>
        <item h="1" x="3"/>
        <item x="4"/>
        <item x="5"/>
        <item x="6"/>
        <item h="1" x="7"/>
        <item h="1" x="8"/>
        <item h="1" x="9"/>
        <item h="1" x="10"/>
        <item h="1" x="11"/>
        <item h="1" x="12"/>
        <item h="1" x="13"/>
        <item t="default"/>
      </items>
    </pivotField>
  </pivotFields>
  <rowFields count="5">
    <field x="1"/>
    <field x="2"/>
    <field x="16"/>
    <field x="15"/>
    <field x="0"/>
  </rowFields>
  <rowItems count="28">
    <i>
      <x v="13"/>
    </i>
    <i r="1">
      <x v="79"/>
    </i>
    <i r="2">
      <x v="4"/>
    </i>
    <i r="3">
      <x v="116"/>
    </i>
    <i r="4">
      <x v="132"/>
    </i>
    <i>
      <x v="23"/>
    </i>
    <i r="1">
      <x v="12"/>
    </i>
    <i r="2">
      <x v="4"/>
    </i>
    <i r="3">
      <x v="94"/>
    </i>
    <i r="4">
      <x v="127"/>
    </i>
    <i r="3">
      <x v="96"/>
    </i>
    <i r="4">
      <x v="126"/>
    </i>
    <i>
      <x v="31"/>
    </i>
    <i r="1">
      <x v="64"/>
    </i>
    <i r="2">
      <x v="6"/>
    </i>
    <i r="3">
      <x v="180"/>
    </i>
    <i r="4">
      <x v="142"/>
    </i>
    <i>
      <x v="39"/>
    </i>
    <i r="1">
      <x v="26"/>
    </i>
    <i r="2">
      <x v="6"/>
    </i>
    <i r="3">
      <x v="168"/>
    </i>
    <i r="4">
      <x v="171"/>
    </i>
    <i>
      <x v="52"/>
    </i>
    <i r="1">
      <x v="83"/>
    </i>
    <i r="2">
      <x v="6"/>
    </i>
    <i r="3">
      <x v="158"/>
    </i>
    <i r="4">
      <x v="137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IVA A RECEBER" fld="13" baseField="0" baseItem="0"/>
    <dataField name="Soma de IVA A PAGAR" fld="14" baseField="0" baseItem="0"/>
  </dataFields>
  <formats count="1">
    <format dxfId="2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ela1" displayName="Tabela1" ref="A4:O299" totalsRowShown="0" dataDxfId="1" tableBorderDxfId="17">
  <autoFilter ref="A4:O299"/>
  <tableColumns count="15">
    <tableColumn id="1" name="Data documento" dataDxfId="16"/>
    <tableColumn id="2" name="Descritivo" dataDxfId="15"/>
    <tableColumn id="3" name="Entidade" dataDxfId="14"/>
    <tableColumn id="4" name="Nº Documento" dataDxfId="13"/>
    <tableColumn id="5" name="Receita" dataDxfId="12" dataCellStyle="Moeda"/>
    <tableColumn id="6" name="Despesa" dataDxfId="11" dataCellStyle="Moeda"/>
    <tableColumn id="7" name="IVA" dataDxfId="10" dataCellStyle="Moeda"/>
    <tableColumn id="8" name="TAXA IVA" dataDxfId="9" dataCellStyle="Percentagem"/>
    <tableColumn id="9" name="Retenção na Fonte" dataDxfId="8" dataCellStyle="Moeda"/>
    <tableColumn id="10" name="Segurança Social" dataDxfId="7" dataCellStyle="Moeda"/>
    <tableColumn id="11" name="Banco" dataDxfId="6"/>
    <tableColumn id="12" name="Tipo de Despesa" dataDxfId="5"/>
    <tableColumn id="13" name="Data Movimento Bancário" dataDxfId="4"/>
    <tableColumn id="14" name="IVA A RECEBER" dataDxfId="3">
      <calculatedColumnFormula>IF(G5="SIM",ROUND(E5-(E5/1.23),3),0)</calculatedColumnFormula>
    </tableColumn>
    <tableColumn id="15" name="IVA A PAGAR" dataDxfId="2">
      <calculatedColumnFormula>IF(G5="SIM",ROUND(F5-(F5/(1+H5)),3),0)</calculatedColumnFormula>
    </tableColumn>
  </tableColumns>
  <tableStyleInfo name="TableStyleDark11" showFirstColumn="0" showLastColumn="0" showRowStripes="1" showColumnStripes="1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/>
  <dimension ref="A3:C31"/>
  <sheetViews>
    <sheetView topLeftCell="A25" workbookViewId="0">
      <selection activeCell="A21" sqref="A21"/>
    </sheetView>
  </sheetViews>
  <sheetFormatPr defaultRowHeight="14.5" x14ac:dyDescent="0.35"/>
  <cols>
    <col min="1" max="1" width="20.7265625" bestFit="1" customWidth="1"/>
    <col min="2" max="2" width="21.08984375" customWidth="1"/>
    <col min="3" max="3" width="19.453125" customWidth="1"/>
  </cols>
  <sheetData>
    <row r="3" spans="1:3" x14ac:dyDescent="0.35">
      <c r="A3" s="21" t="s">
        <v>130</v>
      </c>
      <c r="B3" t="s">
        <v>135</v>
      </c>
      <c r="C3" t="s">
        <v>136</v>
      </c>
    </row>
    <row r="4" spans="1:3" x14ac:dyDescent="0.35">
      <c r="A4" s="14" t="s">
        <v>108</v>
      </c>
      <c r="B4" s="6">
        <v>0</v>
      </c>
      <c r="C4" s="6">
        <v>12.843999999999999</v>
      </c>
    </row>
    <row r="5" spans="1:3" x14ac:dyDescent="0.35">
      <c r="A5" s="22" t="s">
        <v>191</v>
      </c>
      <c r="B5" s="6">
        <v>0</v>
      </c>
      <c r="C5" s="6">
        <v>12.843999999999999</v>
      </c>
    </row>
    <row r="6" spans="1:3" x14ac:dyDescent="0.35">
      <c r="A6" s="23" t="s">
        <v>132</v>
      </c>
      <c r="B6" s="6">
        <v>0</v>
      </c>
      <c r="C6" s="6">
        <v>12.843999999999999</v>
      </c>
    </row>
    <row r="7" spans="1:3" x14ac:dyDescent="0.35">
      <c r="A7" s="24" t="s">
        <v>247</v>
      </c>
      <c r="B7" s="6">
        <v>0</v>
      </c>
      <c r="C7" s="6">
        <v>12.843999999999999</v>
      </c>
    </row>
    <row r="8" spans="1:3" x14ac:dyDescent="0.35">
      <c r="A8" s="25">
        <v>45773</v>
      </c>
      <c r="B8" s="6">
        <v>0</v>
      </c>
      <c r="C8" s="6">
        <v>12.843999999999999</v>
      </c>
    </row>
    <row r="9" spans="1:3" x14ac:dyDescent="0.35">
      <c r="A9" s="14" t="s">
        <v>116</v>
      </c>
      <c r="B9" s="6">
        <v>0</v>
      </c>
      <c r="C9" s="6">
        <v>0.72799999999999998</v>
      </c>
    </row>
    <row r="10" spans="1:3" x14ac:dyDescent="0.35">
      <c r="A10" s="22" t="s">
        <v>117</v>
      </c>
      <c r="B10" s="6">
        <v>0</v>
      </c>
      <c r="C10" s="6">
        <v>0.72799999999999998</v>
      </c>
    </row>
    <row r="11" spans="1:3" x14ac:dyDescent="0.35">
      <c r="A11" s="23" t="s">
        <v>132</v>
      </c>
      <c r="B11" s="6">
        <v>0</v>
      </c>
      <c r="C11" s="6">
        <v>0.72799999999999998</v>
      </c>
    </row>
    <row r="12" spans="1:3" x14ac:dyDescent="0.35">
      <c r="A12" s="24" t="s">
        <v>133</v>
      </c>
      <c r="B12" s="6">
        <v>0</v>
      </c>
      <c r="C12" s="6">
        <v>0</v>
      </c>
    </row>
    <row r="13" spans="1:3" x14ac:dyDescent="0.35">
      <c r="A13" s="25">
        <v>45751</v>
      </c>
      <c r="B13" s="6">
        <v>0</v>
      </c>
      <c r="C13" s="6">
        <v>0</v>
      </c>
    </row>
    <row r="14" spans="1:3" x14ac:dyDescent="0.35">
      <c r="A14" s="24" t="s">
        <v>134</v>
      </c>
      <c r="B14" s="6">
        <v>0</v>
      </c>
      <c r="C14" s="6">
        <v>0.72799999999999998</v>
      </c>
    </row>
    <row r="15" spans="1:3" x14ac:dyDescent="0.35">
      <c r="A15" s="25">
        <v>45753</v>
      </c>
      <c r="B15" s="6">
        <v>0</v>
      </c>
      <c r="C15" s="6">
        <v>0.72799999999999998</v>
      </c>
    </row>
    <row r="16" spans="1:3" x14ac:dyDescent="0.35">
      <c r="A16" s="14" t="s">
        <v>218</v>
      </c>
      <c r="B16" s="6">
        <v>0</v>
      </c>
      <c r="C16" s="6">
        <v>5.1989999999999998</v>
      </c>
    </row>
    <row r="17" spans="1:3" x14ac:dyDescent="0.35">
      <c r="A17" s="22" t="s">
        <v>115</v>
      </c>
      <c r="B17" s="6">
        <v>0</v>
      </c>
      <c r="C17" s="6">
        <v>5.1989999999999998</v>
      </c>
    </row>
    <row r="18" spans="1:3" x14ac:dyDescent="0.35">
      <c r="A18" s="23" t="s">
        <v>248</v>
      </c>
      <c r="B18" s="6">
        <v>0</v>
      </c>
      <c r="C18" s="6">
        <v>5.1989999999999998</v>
      </c>
    </row>
    <row r="19" spans="1:3" x14ac:dyDescent="0.35">
      <c r="A19" s="24" t="s">
        <v>249</v>
      </c>
      <c r="B19" s="6">
        <v>0</v>
      </c>
      <c r="C19" s="6">
        <v>5.1989999999999998</v>
      </c>
    </row>
    <row r="20" spans="1:3" x14ac:dyDescent="0.35">
      <c r="A20" s="25">
        <v>45837</v>
      </c>
      <c r="B20" s="6">
        <v>0</v>
      </c>
      <c r="C20" s="6">
        <v>5.1989999999999998</v>
      </c>
    </row>
    <row r="21" spans="1:3" x14ac:dyDescent="0.35">
      <c r="A21" s="14" t="s">
        <v>129</v>
      </c>
      <c r="B21" s="6">
        <v>537.04999999999995</v>
      </c>
      <c r="C21" s="6">
        <v>0</v>
      </c>
    </row>
    <row r="22" spans="1:3" x14ac:dyDescent="0.35">
      <c r="A22" s="22" t="s">
        <v>105</v>
      </c>
      <c r="B22" s="6">
        <v>537.04999999999995</v>
      </c>
      <c r="C22" s="6">
        <v>0</v>
      </c>
    </row>
    <row r="23" spans="1:3" x14ac:dyDescent="0.35">
      <c r="A23" s="23" t="s">
        <v>248</v>
      </c>
      <c r="B23" s="6">
        <v>537.04999999999995</v>
      </c>
      <c r="C23" s="6">
        <v>0</v>
      </c>
    </row>
    <row r="24" spans="1:3" x14ac:dyDescent="0.35">
      <c r="A24" s="24" t="s">
        <v>315</v>
      </c>
      <c r="B24" s="6">
        <v>537.04999999999995</v>
      </c>
      <c r="C24" s="6">
        <v>0</v>
      </c>
    </row>
    <row r="25" spans="1:3" x14ac:dyDescent="0.35">
      <c r="A25" s="25">
        <v>45825</v>
      </c>
      <c r="B25" s="6">
        <v>537.04999999999995</v>
      </c>
      <c r="C25" s="6">
        <v>0</v>
      </c>
    </row>
    <row r="26" spans="1:3" x14ac:dyDescent="0.35">
      <c r="A26" s="14" t="s">
        <v>203</v>
      </c>
      <c r="B26" s="6">
        <v>0</v>
      </c>
      <c r="C26" s="6">
        <v>4.3550000000000004</v>
      </c>
    </row>
    <row r="27" spans="1:3" x14ac:dyDescent="0.35">
      <c r="A27" s="22" t="s">
        <v>204</v>
      </c>
      <c r="B27" s="6">
        <v>0</v>
      </c>
      <c r="C27" s="6">
        <v>4.3550000000000004</v>
      </c>
    </row>
    <row r="28" spans="1:3" x14ac:dyDescent="0.35">
      <c r="A28" s="23" t="s">
        <v>248</v>
      </c>
      <c r="B28" s="6">
        <v>0</v>
      </c>
      <c r="C28" s="6">
        <v>4.3550000000000004</v>
      </c>
    </row>
    <row r="29" spans="1:3" x14ac:dyDescent="0.35">
      <c r="A29" s="24" t="s">
        <v>250</v>
      </c>
      <c r="B29" s="6">
        <v>0</v>
      </c>
      <c r="C29" s="6">
        <v>4.3550000000000004</v>
      </c>
    </row>
    <row r="30" spans="1:3" x14ac:dyDescent="0.35">
      <c r="A30" s="25">
        <v>45815</v>
      </c>
      <c r="B30" s="6">
        <v>0</v>
      </c>
      <c r="C30" s="6">
        <v>4.3550000000000004</v>
      </c>
    </row>
    <row r="31" spans="1:3" x14ac:dyDescent="0.35">
      <c r="A31" s="14" t="s">
        <v>131</v>
      </c>
      <c r="B31" s="6">
        <v>537.04999999999995</v>
      </c>
      <c r="C31" s="6">
        <v>23.126000000000001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1:O299"/>
  <sheetViews>
    <sheetView tabSelected="1" topLeftCell="A3" zoomScale="90" zoomScaleNormal="90" workbookViewId="0">
      <pane xSplit="1" ySplit="2" topLeftCell="B5" activePane="bottomRight" state="frozen"/>
      <selection pane="topRight" activeCell="B3" sqref="B3"/>
      <selection pane="bottomLeft" activeCell="A4" sqref="A4"/>
      <selection pane="bottomRight" activeCell="B40" sqref="B40"/>
    </sheetView>
  </sheetViews>
  <sheetFormatPr defaultColWidth="8.81640625" defaultRowHeight="14.5" x14ac:dyDescent="0.35"/>
  <cols>
    <col min="1" max="1" width="17.54296875" style="32" customWidth="1"/>
    <col min="2" max="2" width="45.453125" style="33" bestFit="1" customWidth="1"/>
    <col min="3" max="3" width="39.453125" style="33" customWidth="1"/>
    <col min="4" max="4" width="28.453125" style="33" bestFit="1" customWidth="1"/>
    <col min="5" max="5" width="12.81640625" style="15" bestFit="1" customWidth="1"/>
    <col min="6" max="6" width="13.1796875" style="15" bestFit="1" customWidth="1"/>
    <col min="7" max="7" width="8.453125" style="34" customWidth="1"/>
    <col min="8" max="8" width="11.1796875" style="35" customWidth="1"/>
    <col min="9" max="9" width="19.453125" style="34" customWidth="1"/>
    <col min="10" max="10" width="17.1796875" style="34" customWidth="1"/>
    <col min="11" max="11" width="13.1796875" style="33" customWidth="1"/>
    <col min="12" max="12" width="35.1796875" style="33" customWidth="1"/>
    <col min="13" max="13" width="25.54296875" style="36" customWidth="1"/>
    <col min="14" max="14" width="15.81640625" style="33" customWidth="1"/>
    <col min="15" max="15" width="15.81640625" style="33" bestFit="1" customWidth="1"/>
    <col min="16" max="16384" width="8.81640625" style="33"/>
  </cols>
  <sheetData>
    <row r="1" spans="1:15" customFormat="1" ht="59.75" hidden="1" customHeight="1" x14ac:dyDescent="0.35">
      <c r="A1" s="37" t="s">
        <v>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11"/>
    </row>
    <row r="2" spans="1:15" customFormat="1" hidden="1" x14ac:dyDescent="0.35">
      <c r="M2" s="5"/>
    </row>
    <row r="3" spans="1:15" customFormat="1" ht="27.65" customHeight="1" thickBot="1" x14ac:dyDescent="0.4">
      <c r="E3" s="26">
        <f>SUBTOTAL(9,E5:E299)</f>
        <v>27650.764999999996</v>
      </c>
      <c r="F3" s="26">
        <f>SUBTOTAL(9,F5:F299)</f>
        <v>17249.809999999998</v>
      </c>
      <c r="H3" t="str">
        <f>"Valor(es) a reembolsar " &amp; (SUMIF(K5:K299,"A Reembolsar",F5:F299)+SUMIF(K5:K299,"A Reembolsar",E5:E299))</f>
        <v>Valor(es) a reembolsar 0</v>
      </c>
      <c r="M3" s="5"/>
    </row>
    <row r="4" spans="1:15" customFormat="1" ht="15" thickTop="1" x14ac:dyDescent="0.35">
      <c r="A4" s="20" t="s">
        <v>9</v>
      </c>
      <c r="B4" s="3" t="s">
        <v>6</v>
      </c>
      <c r="C4" s="3" t="s">
        <v>5</v>
      </c>
      <c r="D4" s="3" t="s">
        <v>10</v>
      </c>
      <c r="E4" s="3" t="s">
        <v>11</v>
      </c>
      <c r="F4" s="3" t="s">
        <v>12</v>
      </c>
      <c r="G4" s="3" t="s">
        <v>13</v>
      </c>
      <c r="H4" s="3" t="s">
        <v>14</v>
      </c>
      <c r="I4" s="12" t="s">
        <v>15</v>
      </c>
      <c r="J4" s="12" t="s">
        <v>16</v>
      </c>
      <c r="K4" s="3" t="s">
        <v>17</v>
      </c>
      <c r="L4" s="3" t="s">
        <v>0</v>
      </c>
      <c r="M4" s="13" t="s">
        <v>18</v>
      </c>
      <c r="N4" s="7" t="s">
        <v>19</v>
      </c>
      <c r="O4" s="8" t="s">
        <v>20</v>
      </c>
    </row>
    <row r="5" spans="1:15" customFormat="1" x14ac:dyDescent="0.35">
      <c r="A5" s="40">
        <v>45675</v>
      </c>
      <c r="B5" s="41" t="s">
        <v>138</v>
      </c>
      <c r="C5" s="41" t="s">
        <v>139</v>
      </c>
      <c r="D5" s="41" t="s">
        <v>140</v>
      </c>
      <c r="E5" s="42"/>
      <c r="F5" s="42">
        <v>10</v>
      </c>
      <c r="G5" s="43" t="s">
        <v>104</v>
      </c>
      <c r="H5" s="44">
        <v>0.23</v>
      </c>
      <c r="I5" s="42"/>
      <c r="J5" s="42"/>
      <c r="K5" s="41" t="s">
        <v>125</v>
      </c>
      <c r="L5" s="41"/>
      <c r="M5" s="45"/>
      <c r="N5" s="46">
        <f t="shared" ref="N5:N66" si="0">IF(G5="SIM",ROUND(E5-(E5/1.23),3),0)</f>
        <v>0</v>
      </c>
      <c r="O5" s="46">
        <f t="shared" ref="O5:O66" si="1">IF(G5="SIM",ROUND(F5-(F5/(1+H5)),3),0)</f>
        <v>1.87</v>
      </c>
    </row>
    <row r="6" spans="1:15" customFormat="1" x14ac:dyDescent="0.35">
      <c r="A6" s="40">
        <v>45682</v>
      </c>
      <c r="B6" s="41" t="s">
        <v>106</v>
      </c>
      <c r="C6" s="41" t="s">
        <v>107</v>
      </c>
      <c r="D6" s="41" t="s">
        <v>141</v>
      </c>
      <c r="E6" s="42"/>
      <c r="F6" s="42">
        <v>68.83</v>
      </c>
      <c r="G6" s="43" t="s">
        <v>104</v>
      </c>
      <c r="H6" s="44">
        <v>0.23</v>
      </c>
      <c r="I6" s="42"/>
      <c r="J6" s="42"/>
      <c r="K6" s="41" t="s">
        <v>125</v>
      </c>
      <c r="L6" s="41"/>
      <c r="M6" s="45"/>
      <c r="N6" s="46">
        <f t="shared" si="0"/>
        <v>0</v>
      </c>
      <c r="O6" s="46">
        <f t="shared" si="1"/>
        <v>12.871</v>
      </c>
    </row>
    <row r="7" spans="1:15" customFormat="1" x14ac:dyDescent="0.35">
      <c r="A7" s="40">
        <v>45676</v>
      </c>
      <c r="B7" s="41" t="s">
        <v>137</v>
      </c>
      <c r="C7" s="41" t="s">
        <v>143</v>
      </c>
      <c r="D7" s="41" t="s">
        <v>144</v>
      </c>
      <c r="E7" s="42"/>
      <c r="F7" s="42">
        <v>22.11</v>
      </c>
      <c r="G7" s="43" t="s">
        <v>104</v>
      </c>
      <c r="H7" s="44">
        <v>0.23</v>
      </c>
      <c r="I7" s="42"/>
      <c r="J7" s="42"/>
      <c r="K7" s="41" t="s">
        <v>125</v>
      </c>
      <c r="L7" s="41"/>
      <c r="M7" s="45"/>
      <c r="N7" s="46">
        <f t="shared" si="0"/>
        <v>0</v>
      </c>
      <c r="O7" s="46">
        <f t="shared" si="1"/>
        <v>4.1340000000000003</v>
      </c>
    </row>
    <row r="8" spans="1:15" customFormat="1" x14ac:dyDescent="0.35">
      <c r="A8" s="40">
        <v>45689</v>
      </c>
      <c r="B8" s="41" t="s">
        <v>145</v>
      </c>
      <c r="C8" s="41" t="s">
        <v>128</v>
      </c>
      <c r="D8" s="41" t="s">
        <v>146</v>
      </c>
      <c r="E8" s="47"/>
      <c r="F8" s="42">
        <v>20.2</v>
      </c>
      <c r="G8" s="48" t="s">
        <v>104</v>
      </c>
      <c r="H8" s="44">
        <v>0.23</v>
      </c>
      <c r="I8" s="41"/>
      <c r="J8" s="41"/>
      <c r="K8" s="41" t="s">
        <v>125</v>
      </c>
      <c r="L8" s="41"/>
      <c r="M8" s="45"/>
      <c r="N8" s="46">
        <f t="shared" si="0"/>
        <v>0</v>
      </c>
      <c r="O8" s="46">
        <f t="shared" si="1"/>
        <v>3.7770000000000001</v>
      </c>
    </row>
    <row r="9" spans="1:15" customFormat="1" x14ac:dyDescent="0.35">
      <c r="A9" s="40">
        <v>45696</v>
      </c>
      <c r="B9" s="41" t="s">
        <v>147</v>
      </c>
      <c r="C9" s="41" t="s">
        <v>148</v>
      </c>
      <c r="D9" s="41" t="s">
        <v>149</v>
      </c>
      <c r="E9" s="42"/>
      <c r="F9" s="42">
        <v>9.26</v>
      </c>
      <c r="G9" s="43" t="s">
        <v>104</v>
      </c>
      <c r="H9" s="44">
        <v>0.23</v>
      </c>
      <c r="I9" s="42"/>
      <c r="J9" s="42"/>
      <c r="K9" s="41" t="s">
        <v>125</v>
      </c>
      <c r="L9" s="41"/>
      <c r="M9" s="45"/>
      <c r="N9" s="46">
        <f t="shared" si="0"/>
        <v>0</v>
      </c>
      <c r="O9" s="46">
        <f t="shared" si="1"/>
        <v>1.732</v>
      </c>
    </row>
    <row r="10" spans="1:15" customFormat="1" x14ac:dyDescent="0.35">
      <c r="A10" s="40">
        <v>45693</v>
      </c>
      <c r="B10" s="41" t="s">
        <v>147</v>
      </c>
      <c r="C10" s="41" t="s">
        <v>150</v>
      </c>
      <c r="D10" s="41" t="s">
        <v>151</v>
      </c>
      <c r="E10" s="42"/>
      <c r="F10" s="42">
        <v>30.3</v>
      </c>
      <c r="G10" s="49" t="s">
        <v>104</v>
      </c>
      <c r="H10" s="44">
        <v>0.23</v>
      </c>
      <c r="I10" s="41"/>
      <c r="J10" s="41"/>
      <c r="K10" s="41" t="s">
        <v>125</v>
      </c>
      <c r="L10" s="41"/>
      <c r="M10" s="45"/>
      <c r="N10" s="46">
        <f t="shared" si="0"/>
        <v>0</v>
      </c>
      <c r="O10" s="46">
        <f t="shared" si="1"/>
        <v>5.6660000000000004</v>
      </c>
    </row>
    <row r="11" spans="1:15" customFormat="1" x14ac:dyDescent="0.35">
      <c r="A11" s="40">
        <v>45789</v>
      </c>
      <c r="B11" s="41" t="s">
        <v>147</v>
      </c>
      <c r="C11" s="41" t="s">
        <v>152</v>
      </c>
      <c r="D11" s="41" t="s">
        <v>153</v>
      </c>
      <c r="E11" s="42"/>
      <c r="F11" s="42">
        <v>26.8</v>
      </c>
      <c r="G11" s="43" t="s">
        <v>104</v>
      </c>
      <c r="H11" s="44">
        <v>0.23</v>
      </c>
      <c r="I11" s="42"/>
      <c r="J11" s="42"/>
      <c r="K11" s="41" t="s">
        <v>125</v>
      </c>
      <c r="L11" s="41"/>
      <c r="M11" s="45"/>
      <c r="N11" s="46">
        <f t="shared" si="0"/>
        <v>0</v>
      </c>
      <c r="O11" s="46">
        <f t="shared" si="1"/>
        <v>5.0110000000000001</v>
      </c>
    </row>
    <row r="12" spans="1:15" customFormat="1" x14ac:dyDescent="0.35">
      <c r="A12" s="40">
        <v>45702</v>
      </c>
      <c r="B12" s="41" t="s">
        <v>156</v>
      </c>
      <c r="C12" s="41" t="s">
        <v>154</v>
      </c>
      <c r="D12" s="41" t="s">
        <v>155</v>
      </c>
      <c r="E12" s="42">
        <v>128.43</v>
      </c>
      <c r="F12" s="42"/>
      <c r="G12" s="43" t="s">
        <v>157</v>
      </c>
      <c r="H12" s="44"/>
      <c r="I12" s="42"/>
      <c r="J12" s="42"/>
      <c r="K12" s="41" t="s">
        <v>123</v>
      </c>
      <c r="L12" s="41"/>
      <c r="M12" s="50"/>
      <c r="N12" s="46">
        <f t="shared" si="0"/>
        <v>0</v>
      </c>
      <c r="O12" s="46">
        <f t="shared" si="1"/>
        <v>0</v>
      </c>
    </row>
    <row r="13" spans="1:15" customFormat="1" x14ac:dyDescent="0.35">
      <c r="A13" s="40">
        <v>45688</v>
      </c>
      <c r="B13" s="41" t="s">
        <v>158</v>
      </c>
      <c r="C13" s="41" t="s">
        <v>159</v>
      </c>
      <c r="D13" s="41" t="s">
        <v>160</v>
      </c>
      <c r="E13" s="42"/>
      <c r="F13" s="42">
        <v>113</v>
      </c>
      <c r="G13" s="43" t="s">
        <v>104</v>
      </c>
      <c r="H13" s="44">
        <v>0.23</v>
      </c>
      <c r="I13" s="42"/>
      <c r="J13" s="42"/>
      <c r="K13" s="41" t="s">
        <v>123</v>
      </c>
      <c r="L13" s="41"/>
      <c r="M13" s="45"/>
      <c r="N13" s="46">
        <f t="shared" si="0"/>
        <v>0</v>
      </c>
      <c r="O13" s="46">
        <f t="shared" si="1"/>
        <v>21.13</v>
      </c>
    </row>
    <row r="14" spans="1:15" customFormat="1" x14ac:dyDescent="0.35">
      <c r="A14" s="40">
        <v>45704</v>
      </c>
      <c r="B14" s="41" t="s">
        <v>108</v>
      </c>
      <c r="C14" s="41" t="s">
        <v>109</v>
      </c>
      <c r="D14" s="41" t="s">
        <v>161</v>
      </c>
      <c r="E14" s="42"/>
      <c r="F14" s="42">
        <v>11.28</v>
      </c>
      <c r="G14" s="43" t="s">
        <v>104</v>
      </c>
      <c r="H14" s="44">
        <v>0.23</v>
      </c>
      <c r="I14" s="42"/>
      <c r="J14" s="42"/>
      <c r="K14" s="41" t="s">
        <v>124</v>
      </c>
      <c r="L14" s="41"/>
      <c r="M14" s="45"/>
      <c r="N14" s="46">
        <f t="shared" si="0"/>
        <v>0</v>
      </c>
      <c r="O14" s="46">
        <f t="shared" si="1"/>
        <v>2.109</v>
      </c>
    </row>
    <row r="15" spans="1:15" customFormat="1" x14ac:dyDescent="0.35">
      <c r="A15" s="40">
        <v>45701</v>
      </c>
      <c r="B15" s="41" t="s">
        <v>162</v>
      </c>
      <c r="C15" s="41" t="s">
        <v>319</v>
      </c>
      <c r="D15" s="41" t="s">
        <v>163</v>
      </c>
      <c r="E15" s="42">
        <v>5450</v>
      </c>
      <c r="F15" s="42"/>
      <c r="G15" s="43" t="s">
        <v>104</v>
      </c>
      <c r="H15" s="44">
        <v>0.23</v>
      </c>
      <c r="I15" s="42"/>
      <c r="J15" s="42"/>
      <c r="K15" s="41" t="s">
        <v>123</v>
      </c>
      <c r="L15" s="41"/>
      <c r="M15" s="45"/>
      <c r="N15" s="46">
        <f t="shared" si="0"/>
        <v>1019.106</v>
      </c>
      <c r="O15" s="46">
        <f t="shared" si="1"/>
        <v>0</v>
      </c>
    </row>
    <row r="16" spans="1:15" customFormat="1" x14ac:dyDescent="0.35">
      <c r="A16" s="40">
        <v>45707</v>
      </c>
      <c r="B16" s="41" t="s">
        <v>106</v>
      </c>
      <c r="C16" s="41" t="s">
        <v>107</v>
      </c>
      <c r="D16" s="41" t="s">
        <v>164</v>
      </c>
      <c r="E16" s="42"/>
      <c r="F16" s="42">
        <v>48.62</v>
      </c>
      <c r="G16" s="43" t="s">
        <v>104</v>
      </c>
      <c r="H16" s="44">
        <v>0.23</v>
      </c>
      <c r="I16" s="42"/>
      <c r="J16" s="42"/>
      <c r="K16" s="41" t="s">
        <v>125</v>
      </c>
      <c r="L16" s="41"/>
      <c r="M16" s="45"/>
      <c r="N16" s="46">
        <f t="shared" si="0"/>
        <v>0</v>
      </c>
      <c r="O16" s="46">
        <f t="shared" si="1"/>
        <v>9.0920000000000005</v>
      </c>
    </row>
    <row r="17" spans="1:15" customFormat="1" x14ac:dyDescent="0.35">
      <c r="A17" s="40">
        <v>45710</v>
      </c>
      <c r="B17" s="41" t="s">
        <v>138</v>
      </c>
      <c r="C17" s="41" t="s">
        <v>139</v>
      </c>
      <c r="D17" s="41" t="s">
        <v>165</v>
      </c>
      <c r="E17" s="42"/>
      <c r="F17" s="42">
        <v>10</v>
      </c>
      <c r="G17" s="43" t="s">
        <v>104</v>
      </c>
      <c r="H17" s="44">
        <v>0.23</v>
      </c>
      <c r="I17" s="42"/>
      <c r="J17" s="42"/>
      <c r="K17" s="41" t="s">
        <v>125</v>
      </c>
      <c r="L17" s="41"/>
      <c r="M17" s="50"/>
      <c r="N17" s="46">
        <f t="shared" si="0"/>
        <v>0</v>
      </c>
      <c r="O17" s="46">
        <f t="shared" si="1"/>
        <v>1.87</v>
      </c>
    </row>
    <row r="18" spans="1:15" customFormat="1" x14ac:dyDescent="0.35">
      <c r="A18" s="40">
        <v>45725</v>
      </c>
      <c r="B18" s="41" t="s">
        <v>166</v>
      </c>
      <c r="C18" s="41" t="s">
        <v>167</v>
      </c>
      <c r="D18" s="41" t="s">
        <v>168</v>
      </c>
      <c r="E18" s="42"/>
      <c r="F18" s="42">
        <v>7.52</v>
      </c>
      <c r="G18" s="43" t="s">
        <v>104</v>
      </c>
      <c r="H18" s="44">
        <v>0.23</v>
      </c>
      <c r="I18" s="42"/>
      <c r="J18" s="42"/>
      <c r="K18" s="41" t="s">
        <v>123</v>
      </c>
      <c r="L18" s="41"/>
      <c r="M18" s="50"/>
      <c r="N18" s="46">
        <f t="shared" si="0"/>
        <v>0</v>
      </c>
      <c r="O18" s="46">
        <f t="shared" si="1"/>
        <v>1.4059999999999999</v>
      </c>
    </row>
    <row r="19" spans="1:15" customFormat="1" x14ac:dyDescent="0.35">
      <c r="A19" s="40">
        <v>45715</v>
      </c>
      <c r="B19" s="41" t="s">
        <v>147</v>
      </c>
      <c r="C19" s="41" t="s">
        <v>150</v>
      </c>
      <c r="D19" s="41" t="s">
        <v>169</v>
      </c>
      <c r="E19" s="42"/>
      <c r="F19" s="42">
        <v>29.9</v>
      </c>
      <c r="G19" s="43" t="s">
        <v>104</v>
      </c>
      <c r="H19" s="44">
        <v>0.23</v>
      </c>
      <c r="I19" s="42"/>
      <c r="J19" s="42"/>
      <c r="K19" s="41" t="s">
        <v>125</v>
      </c>
      <c r="L19" s="41"/>
      <c r="M19" s="50"/>
      <c r="N19" s="46">
        <f t="shared" si="0"/>
        <v>0</v>
      </c>
      <c r="O19" s="46">
        <f t="shared" si="1"/>
        <v>5.5910000000000002</v>
      </c>
    </row>
    <row r="20" spans="1:15" customFormat="1" x14ac:dyDescent="0.35">
      <c r="A20" s="40">
        <v>45729</v>
      </c>
      <c r="B20" s="41" t="s">
        <v>147</v>
      </c>
      <c r="C20" s="41" t="s">
        <v>170</v>
      </c>
      <c r="D20" s="41" t="s">
        <v>171</v>
      </c>
      <c r="E20" s="42"/>
      <c r="F20" s="42">
        <v>28.5</v>
      </c>
      <c r="G20" s="43" t="s">
        <v>104</v>
      </c>
      <c r="H20" s="44">
        <v>0.23</v>
      </c>
      <c r="I20" s="42"/>
      <c r="J20" s="42"/>
      <c r="K20" s="41"/>
      <c r="L20" s="41"/>
      <c r="M20" s="50"/>
      <c r="N20" s="46">
        <f t="shared" si="0"/>
        <v>0</v>
      </c>
      <c r="O20" s="46">
        <f t="shared" si="1"/>
        <v>5.3289999999999997</v>
      </c>
    </row>
    <row r="21" spans="1:15" customFormat="1" x14ac:dyDescent="0.35">
      <c r="A21" s="40">
        <v>45717</v>
      </c>
      <c r="B21" s="41" t="s">
        <v>147</v>
      </c>
      <c r="C21" s="41" t="s">
        <v>172</v>
      </c>
      <c r="D21" s="41" t="s">
        <v>173</v>
      </c>
      <c r="E21" s="42"/>
      <c r="F21" s="42">
        <v>42.8</v>
      </c>
      <c r="G21" s="43" t="s">
        <v>104</v>
      </c>
      <c r="H21" s="44">
        <v>0.23</v>
      </c>
      <c r="I21" s="42"/>
      <c r="J21" s="42"/>
      <c r="K21" s="41" t="s">
        <v>125</v>
      </c>
      <c r="L21" s="41"/>
      <c r="M21" s="50"/>
      <c r="N21" s="46">
        <f t="shared" si="0"/>
        <v>0</v>
      </c>
      <c r="O21" s="46">
        <f t="shared" si="1"/>
        <v>8.0030000000000001</v>
      </c>
    </row>
    <row r="22" spans="1:15" customFormat="1" x14ac:dyDescent="0.35">
      <c r="A22" s="40">
        <v>45731</v>
      </c>
      <c r="B22" s="41" t="s">
        <v>127</v>
      </c>
      <c r="C22" s="41" t="s">
        <v>128</v>
      </c>
      <c r="D22" s="41" t="s">
        <v>174</v>
      </c>
      <c r="E22" s="42"/>
      <c r="F22" s="42">
        <v>38.4</v>
      </c>
      <c r="G22" s="43" t="s">
        <v>104</v>
      </c>
      <c r="H22" s="44">
        <v>0.23</v>
      </c>
      <c r="I22" s="42"/>
      <c r="J22" s="42"/>
      <c r="K22" s="41"/>
      <c r="L22" s="41"/>
      <c r="M22" s="50"/>
      <c r="N22" s="46">
        <f t="shared" si="0"/>
        <v>0</v>
      </c>
      <c r="O22" s="46">
        <f t="shared" si="1"/>
        <v>7.18</v>
      </c>
    </row>
    <row r="23" spans="1:15" customFormat="1" x14ac:dyDescent="0.35">
      <c r="A23" s="40">
        <v>45729</v>
      </c>
      <c r="B23" s="41" t="s">
        <v>147</v>
      </c>
      <c r="C23" s="41" t="s">
        <v>175</v>
      </c>
      <c r="D23" s="51" t="s">
        <v>176</v>
      </c>
      <c r="E23" s="42"/>
      <c r="F23" s="42">
        <v>21.36</v>
      </c>
      <c r="G23" s="43" t="s">
        <v>104</v>
      </c>
      <c r="H23" s="44">
        <v>0.23</v>
      </c>
      <c r="I23" s="42"/>
      <c r="J23" s="42"/>
      <c r="K23" s="41"/>
      <c r="L23" s="41"/>
      <c r="M23" s="50"/>
      <c r="N23" s="46">
        <f t="shared" si="0"/>
        <v>0</v>
      </c>
      <c r="O23" s="46">
        <f t="shared" si="1"/>
        <v>3.9940000000000002</v>
      </c>
    </row>
    <row r="24" spans="1:15" customFormat="1" x14ac:dyDescent="0.35">
      <c r="A24" s="40">
        <v>45732</v>
      </c>
      <c r="B24" s="41" t="s">
        <v>177</v>
      </c>
      <c r="C24" s="41" t="s">
        <v>115</v>
      </c>
      <c r="D24" s="41" t="s">
        <v>178</v>
      </c>
      <c r="E24" s="42"/>
      <c r="F24" s="42">
        <f>28.84+6.63</f>
        <v>35.47</v>
      </c>
      <c r="G24" s="43" t="s">
        <v>104</v>
      </c>
      <c r="H24" s="44">
        <v>0.23</v>
      </c>
      <c r="I24" s="42"/>
      <c r="J24" s="42"/>
      <c r="K24" s="41"/>
      <c r="L24" s="41"/>
      <c r="M24" s="50"/>
      <c r="N24" s="46">
        <f t="shared" si="0"/>
        <v>0</v>
      </c>
      <c r="O24" s="46">
        <f t="shared" si="1"/>
        <v>6.633</v>
      </c>
    </row>
    <row r="25" spans="1:15" customFormat="1" x14ac:dyDescent="0.35">
      <c r="A25" s="40">
        <v>45732</v>
      </c>
      <c r="B25" s="41" t="s">
        <v>177</v>
      </c>
      <c r="C25" s="41" t="s">
        <v>115</v>
      </c>
      <c r="D25" s="41" t="s">
        <v>178</v>
      </c>
      <c r="E25" s="42"/>
      <c r="F25" s="42">
        <f>51.73+3.1</f>
        <v>54.83</v>
      </c>
      <c r="G25" s="43" t="s">
        <v>104</v>
      </c>
      <c r="H25" s="44">
        <v>0.06</v>
      </c>
      <c r="I25" s="42"/>
      <c r="J25" s="42"/>
      <c r="K25" s="41"/>
      <c r="L25" s="41"/>
      <c r="M25" s="50"/>
      <c r="N25" s="46">
        <f t="shared" si="0"/>
        <v>0</v>
      </c>
      <c r="O25" s="46">
        <f t="shared" si="1"/>
        <v>3.1040000000000001</v>
      </c>
    </row>
    <row r="26" spans="1:15" customFormat="1" x14ac:dyDescent="0.35">
      <c r="A26" s="40">
        <v>45742</v>
      </c>
      <c r="B26" s="41" t="s">
        <v>179</v>
      </c>
      <c r="C26" s="41" t="s">
        <v>180</v>
      </c>
      <c r="D26" s="41" t="s">
        <v>181</v>
      </c>
      <c r="E26" s="42"/>
      <c r="F26" s="42">
        <v>256.3</v>
      </c>
      <c r="G26" s="43" t="s">
        <v>104</v>
      </c>
      <c r="H26" s="44">
        <v>0.23</v>
      </c>
      <c r="I26" s="42"/>
      <c r="J26" s="42"/>
      <c r="K26" s="41" t="s">
        <v>125</v>
      </c>
      <c r="L26" s="41"/>
      <c r="M26" s="50"/>
      <c r="N26" s="46">
        <f t="shared" si="0"/>
        <v>0</v>
      </c>
      <c r="O26" s="46">
        <f t="shared" si="1"/>
        <v>47.926000000000002</v>
      </c>
    </row>
    <row r="27" spans="1:15" customFormat="1" x14ac:dyDescent="0.35">
      <c r="A27" s="40">
        <v>45754</v>
      </c>
      <c r="B27" s="41" t="s">
        <v>182</v>
      </c>
      <c r="C27" s="52" t="s">
        <v>115</v>
      </c>
      <c r="D27" s="52" t="s">
        <v>183</v>
      </c>
      <c r="E27" s="42"/>
      <c r="F27" s="42">
        <v>9.17</v>
      </c>
      <c r="G27" s="43" t="s">
        <v>104</v>
      </c>
      <c r="H27" s="44">
        <v>0.06</v>
      </c>
      <c r="I27" s="42"/>
      <c r="J27" s="42"/>
      <c r="K27" s="41" t="s">
        <v>123</v>
      </c>
      <c r="L27" s="41"/>
      <c r="M27" s="50"/>
      <c r="N27" s="46">
        <f t="shared" si="0"/>
        <v>0</v>
      </c>
      <c r="O27" s="46">
        <f t="shared" si="1"/>
        <v>0.51900000000000002</v>
      </c>
    </row>
    <row r="28" spans="1:15" customFormat="1" x14ac:dyDescent="0.35">
      <c r="A28" s="40">
        <v>45753</v>
      </c>
      <c r="B28" s="41" t="s">
        <v>116</v>
      </c>
      <c r="C28" s="41" t="s">
        <v>117</v>
      </c>
      <c r="D28" s="41" t="s">
        <v>184</v>
      </c>
      <c r="E28" s="42"/>
      <c r="F28" s="42">
        <v>12.87</v>
      </c>
      <c r="G28" s="43" t="s">
        <v>104</v>
      </c>
      <c r="H28" s="44">
        <v>0.06</v>
      </c>
      <c r="I28" s="42"/>
      <c r="J28" s="42"/>
      <c r="K28" s="41" t="s">
        <v>123</v>
      </c>
      <c r="L28" s="41"/>
      <c r="M28" s="50"/>
      <c r="N28" s="46">
        <f t="shared" si="0"/>
        <v>0</v>
      </c>
      <c r="O28" s="46">
        <f t="shared" si="1"/>
        <v>0.72799999999999998</v>
      </c>
    </row>
    <row r="29" spans="1:15" customFormat="1" x14ac:dyDescent="0.35">
      <c r="A29" s="40">
        <v>45751</v>
      </c>
      <c r="B29" s="41" t="s">
        <v>116</v>
      </c>
      <c r="C29" s="41" t="s">
        <v>117</v>
      </c>
      <c r="D29" s="51" t="s">
        <v>185</v>
      </c>
      <c r="E29" s="42"/>
      <c r="F29" s="42">
        <v>100</v>
      </c>
      <c r="G29" s="43" t="s">
        <v>157</v>
      </c>
      <c r="H29" s="44"/>
      <c r="I29" s="42"/>
      <c r="J29" s="42"/>
      <c r="K29" s="41" t="s">
        <v>123</v>
      </c>
      <c r="L29" s="41"/>
      <c r="M29" s="50"/>
      <c r="N29" s="46">
        <f t="shared" si="0"/>
        <v>0</v>
      </c>
      <c r="O29" s="46">
        <f t="shared" si="1"/>
        <v>0</v>
      </c>
    </row>
    <row r="30" spans="1:15" customFormat="1" x14ac:dyDescent="0.35">
      <c r="A30" s="40">
        <v>45757</v>
      </c>
      <c r="B30" s="41" t="s">
        <v>147</v>
      </c>
      <c r="C30" s="41" t="s">
        <v>170</v>
      </c>
      <c r="D30" s="41" t="s">
        <v>186</v>
      </c>
      <c r="E30" s="42"/>
      <c r="F30" s="42">
        <v>46.88</v>
      </c>
      <c r="G30" s="43" t="s">
        <v>104</v>
      </c>
      <c r="H30" s="44">
        <v>0.23</v>
      </c>
      <c r="I30" s="42"/>
      <c r="J30" s="42"/>
      <c r="K30" s="41" t="s">
        <v>125</v>
      </c>
      <c r="L30" s="41"/>
      <c r="M30" s="50"/>
      <c r="N30" s="46">
        <f t="shared" si="0"/>
        <v>0</v>
      </c>
      <c r="O30" s="46">
        <f t="shared" si="1"/>
        <v>8.766</v>
      </c>
    </row>
    <row r="31" spans="1:15" customFormat="1" x14ac:dyDescent="0.35">
      <c r="A31" s="40">
        <v>45762</v>
      </c>
      <c r="B31" s="41" t="s">
        <v>187</v>
      </c>
      <c r="C31" s="41" t="s">
        <v>188</v>
      </c>
      <c r="D31" s="41"/>
      <c r="E31" s="42"/>
      <c r="F31" s="42">
        <v>-50</v>
      </c>
      <c r="G31" s="43" t="s">
        <v>157</v>
      </c>
      <c r="H31" s="44"/>
      <c r="I31" s="42"/>
      <c r="J31" s="42"/>
      <c r="K31" s="41" t="s">
        <v>123</v>
      </c>
      <c r="L31" s="41"/>
      <c r="M31" s="50"/>
      <c r="N31" s="46">
        <f t="shared" si="0"/>
        <v>0</v>
      </c>
      <c r="O31" s="46">
        <f t="shared" si="1"/>
        <v>0</v>
      </c>
    </row>
    <row r="32" spans="1:15" customFormat="1" x14ac:dyDescent="0.35">
      <c r="A32" s="40">
        <v>45765</v>
      </c>
      <c r="B32" s="41" t="s">
        <v>189</v>
      </c>
      <c r="C32" s="41" t="s">
        <v>143</v>
      </c>
      <c r="D32" s="41" t="s">
        <v>190</v>
      </c>
      <c r="E32" s="42"/>
      <c r="F32" s="42">
        <v>8.99</v>
      </c>
      <c r="G32" s="43" t="s">
        <v>104</v>
      </c>
      <c r="H32" s="44">
        <v>0.23</v>
      </c>
      <c r="I32" s="42"/>
      <c r="J32" s="42"/>
      <c r="K32" s="41" t="s">
        <v>125</v>
      </c>
      <c r="L32" s="41"/>
      <c r="M32" s="50"/>
      <c r="N32" s="46">
        <f t="shared" si="0"/>
        <v>0</v>
      </c>
      <c r="O32" s="46">
        <f t="shared" si="1"/>
        <v>1.681</v>
      </c>
    </row>
    <row r="33" spans="1:15" customFormat="1" x14ac:dyDescent="0.35">
      <c r="A33" s="40">
        <v>45773</v>
      </c>
      <c r="B33" s="41" t="s">
        <v>108</v>
      </c>
      <c r="C33" s="41" t="s">
        <v>191</v>
      </c>
      <c r="D33" s="41" t="s">
        <v>192</v>
      </c>
      <c r="E33" s="42"/>
      <c r="F33" s="42">
        <v>68.69</v>
      </c>
      <c r="G33" s="43" t="s">
        <v>104</v>
      </c>
      <c r="H33" s="44">
        <v>0.23</v>
      </c>
      <c r="I33" s="42"/>
      <c r="J33" s="42"/>
      <c r="K33" s="41" t="s">
        <v>125</v>
      </c>
      <c r="L33" s="41"/>
      <c r="M33" s="50"/>
      <c r="N33" s="46">
        <f t="shared" si="0"/>
        <v>0</v>
      </c>
      <c r="O33" s="46">
        <f t="shared" si="1"/>
        <v>12.843999999999999</v>
      </c>
    </row>
    <row r="34" spans="1:15" customFormat="1" x14ac:dyDescent="0.35">
      <c r="A34" s="40">
        <v>45765</v>
      </c>
      <c r="B34" s="41" t="s">
        <v>147</v>
      </c>
      <c r="C34" s="41" t="s">
        <v>193</v>
      </c>
      <c r="D34" s="41" t="s">
        <v>194</v>
      </c>
      <c r="E34" s="42"/>
      <c r="F34" s="42">
        <v>22.75</v>
      </c>
      <c r="G34" s="43" t="s">
        <v>104</v>
      </c>
      <c r="H34" s="44">
        <v>0.23</v>
      </c>
      <c r="I34" s="42"/>
      <c r="J34" s="42"/>
      <c r="K34" s="41" t="s">
        <v>125</v>
      </c>
      <c r="L34" s="41"/>
      <c r="M34" s="50"/>
      <c r="N34" s="46">
        <f t="shared" si="0"/>
        <v>0</v>
      </c>
      <c r="O34" s="46">
        <f t="shared" si="1"/>
        <v>4.2539999999999996</v>
      </c>
    </row>
    <row r="35" spans="1:15" customFormat="1" x14ac:dyDescent="0.35">
      <c r="A35" s="40">
        <v>45777</v>
      </c>
      <c r="B35" s="41" t="s">
        <v>147</v>
      </c>
      <c r="C35" s="41" t="s">
        <v>195</v>
      </c>
      <c r="D35" s="53" t="s">
        <v>196</v>
      </c>
      <c r="E35" s="42"/>
      <c r="F35" s="42">
        <v>40.700000000000003</v>
      </c>
      <c r="G35" s="43" t="s">
        <v>104</v>
      </c>
      <c r="H35" s="44">
        <v>0.23</v>
      </c>
      <c r="I35" s="42"/>
      <c r="J35" s="42"/>
      <c r="K35" s="41" t="s">
        <v>125</v>
      </c>
      <c r="L35" s="41"/>
      <c r="M35" s="50"/>
      <c r="N35" s="46">
        <f t="shared" si="0"/>
        <v>0</v>
      </c>
      <c r="O35" s="46">
        <f t="shared" si="1"/>
        <v>7.6109999999999998</v>
      </c>
    </row>
    <row r="36" spans="1:15" customFormat="1" x14ac:dyDescent="0.35">
      <c r="A36" s="40">
        <v>45777</v>
      </c>
      <c r="B36" s="41" t="s">
        <v>158</v>
      </c>
      <c r="C36" s="41" t="s">
        <v>159</v>
      </c>
      <c r="D36" s="41" t="s">
        <v>197</v>
      </c>
      <c r="E36" s="42"/>
      <c r="F36" s="42">
        <v>60.72</v>
      </c>
      <c r="G36" s="43" t="s">
        <v>104</v>
      </c>
      <c r="H36" s="44">
        <v>0.23</v>
      </c>
      <c r="I36" s="42"/>
      <c r="J36" s="42"/>
      <c r="K36" s="41"/>
      <c r="L36" s="41"/>
      <c r="M36" s="50"/>
      <c r="N36" s="46">
        <f t="shared" si="0"/>
        <v>0</v>
      </c>
      <c r="O36" s="46">
        <f t="shared" si="1"/>
        <v>11.353999999999999</v>
      </c>
    </row>
    <row r="37" spans="1:15" customFormat="1" x14ac:dyDescent="0.35">
      <c r="A37" s="40">
        <v>45781</v>
      </c>
      <c r="B37" s="41" t="s">
        <v>198</v>
      </c>
      <c r="C37" s="41" t="s">
        <v>199</v>
      </c>
      <c r="D37" s="51" t="s">
        <v>200</v>
      </c>
      <c r="E37" s="42"/>
      <c r="F37" s="42">
        <v>18.59</v>
      </c>
      <c r="G37" s="43" t="s">
        <v>104</v>
      </c>
      <c r="H37" s="44">
        <v>0.23</v>
      </c>
      <c r="I37" s="42"/>
      <c r="J37" s="42"/>
      <c r="K37" s="41" t="s">
        <v>125</v>
      </c>
      <c r="L37" s="41"/>
      <c r="M37" s="50"/>
      <c r="N37" s="46">
        <f t="shared" si="0"/>
        <v>0</v>
      </c>
      <c r="O37" s="46">
        <f t="shared" si="1"/>
        <v>3.476</v>
      </c>
    </row>
    <row r="38" spans="1:15" customFormat="1" x14ac:dyDescent="0.35">
      <c r="A38" s="40">
        <v>45784</v>
      </c>
      <c r="B38" s="41" t="s">
        <v>147</v>
      </c>
      <c r="C38" s="41" t="s">
        <v>150</v>
      </c>
      <c r="D38" s="41" t="s">
        <v>201</v>
      </c>
      <c r="E38" s="42"/>
      <c r="F38" s="42">
        <v>36.200000000000003</v>
      </c>
      <c r="G38" s="43" t="s">
        <v>104</v>
      </c>
      <c r="H38" s="44">
        <v>0.23</v>
      </c>
      <c r="I38" s="42"/>
      <c r="J38" s="42"/>
      <c r="K38" s="41" t="s">
        <v>125</v>
      </c>
      <c r="L38" s="41"/>
      <c r="M38" s="50"/>
      <c r="N38" s="46">
        <f t="shared" si="0"/>
        <v>0</v>
      </c>
      <c r="O38" s="46">
        <f t="shared" si="1"/>
        <v>6.7690000000000001</v>
      </c>
    </row>
    <row r="39" spans="1:15" customFormat="1" x14ac:dyDescent="0.35">
      <c r="A39" s="40">
        <v>45802</v>
      </c>
      <c r="B39" s="41" t="s">
        <v>147</v>
      </c>
      <c r="C39" s="41" t="s">
        <v>148</v>
      </c>
      <c r="D39" s="41" t="s">
        <v>202</v>
      </c>
      <c r="E39" s="42"/>
      <c r="F39" s="42">
        <v>15.84</v>
      </c>
      <c r="G39" s="43" t="s">
        <v>104</v>
      </c>
      <c r="H39" s="44">
        <v>0.23</v>
      </c>
      <c r="I39" s="42"/>
      <c r="J39" s="42"/>
      <c r="K39" s="41" t="s">
        <v>125</v>
      </c>
      <c r="L39" s="41"/>
      <c r="M39" s="50"/>
      <c r="N39" s="46">
        <f t="shared" si="0"/>
        <v>0</v>
      </c>
      <c r="O39" s="46">
        <f t="shared" si="1"/>
        <v>2.9620000000000002</v>
      </c>
    </row>
    <row r="40" spans="1:15" customFormat="1" x14ac:dyDescent="0.35">
      <c r="A40" s="40">
        <v>45815</v>
      </c>
      <c r="B40" s="41" t="s">
        <v>203</v>
      </c>
      <c r="C40" s="41" t="s">
        <v>204</v>
      </c>
      <c r="D40" s="41" t="s">
        <v>205</v>
      </c>
      <c r="E40" s="42"/>
      <c r="F40" s="42">
        <v>23.29</v>
      </c>
      <c r="G40" s="43" t="s">
        <v>104</v>
      </c>
      <c r="H40" s="44">
        <v>0.23</v>
      </c>
      <c r="I40" s="42"/>
      <c r="J40" s="42"/>
      <c r="K40" s="41" t="s">
        <v>125</v>
      </c>
      <c r="L40" s="41"/>
      <c r="M40" s="50"/>
      <c r="N40" s="46">
        <f t="shared" si="0"/>
        <v>0</v>
      </c>
      <c r="O40" s="46">
        <f t="shared" si="1"/>
        <v>4.3550000000000004</v>
      </c>
    </row>
    <row r="41" spans="1:15" customFormat="1" x14ac:dyDescent="0.35">
      <c r="A41" s="40">
        <v>45806</v>
      </c>
      <c r="B41" s="41" t="s">
        <v>147</v>
      </c>
      <c r="C41" s="41" t="s">
        <v>206</v>
      </c>
      <c r="D41" s="41" t="s">
        <v>207</v>
      </c>
      <c r="E41" s="42"/>
      <c r="F41" s="42">
        <v>12.5</v>
      </c>
      <c r="G41" s="43" t="s">
        <v>104</v>
      </c>
      <c r="H41" s="44">
        <v>0.23</v>
      </c>
      <c r="I41" s="42"/>
      <c r="J41" s="42"/>
      <c r="K41" s="41" t="s">
        <v>125</v>
      </c>
      <c r="L41" s="41"/>
      <c r="M41" s="50"/>
      <c r="N41" s="46">
        <f t="shared" si="0"/>
        <v>0</v>
      </c>
      <c r="O41" s="46">
        <f t="shared" si="1"/>
        <v>2.3370000000000002</v>
      </c>
    </row>
    <row r="42" spans="1:15" customFormat="1" x14ac:dyDescent="0.35">
      <c r="A42" s="40">
        <v>45814</v>
      </c>
      <c r="B42" s="41" t="s">
        <v>147</v>
      </c>
      <c r="C42" s="41" t="s">
        <v>208</v>
      </c>
      <c r="D42" s="41" t="s">
        <v>209</v>
      </c>
      <c r="E42" s="42"/>
      <c r="F42" s="42">
        <v>65.849999999999994</v>
      </c>
      <c r="G42" s="43" t="s">
        <v>104</v>
      </c>
      <c r="H42" s="44">
        <v>0.23</v>
      </c>
      <c r="I42" s="42"/>
      <c r="J42" s="42"/>
      <c r="K42" s="41" t="s">
        <v>125</v>
      </c>
      <c r="L42" s="41"/>
      <c r="M42" s="50"/>
      <c r="N42" s="46">
        <f t="shared" si="0"/>
        <v>0</v>
      </c>
      <c r="O42" s="46">
        <f t="shared" si="1"/>
        <v>12.313000000000001</v>
      </c>
    </row>
    <row r="43" spans="1:15" customFormat="1" x14ac:dyDescent="0.35">
      <c r="A43" s="40">
        <v>45820</v>
      </c>
      <c r="B43" s="41" t="s">
        <v>147</v>
      </c>
      <c r="C43" s="41" t="s">
        <v>210</v>
      </c>
      <c r="D43" s="41" t="s">
        <v>211</v>
      </c>
      <c r="E43" s="42"/>
      <c r="F43" s="42">
        <v>24.5</v>
      </c>
      <c r="G43" s="43" t="s">
        <v>104</v>
      </c>
      <c r="H43" s="44">
        <v>0.23</v>
      </c>
      <c r="I43" s="42"/>
      <c r="J43" s="42"/>
      <c r="K43" s="41" t="s">
        <v>123</v>
      </c>
      <c r="L43" s="41"/>
      <c r="M43" s="50"/>
      <c r="N43" s="46">
        <f t="shared" si="0"/>
        <v>0</v>
      </c>
      <c r="O43" s="46">
        <f t="shared" si="1"/>
        <v>4.5810000000000004</v>
      </c>
    </row>
    <row r="44" spans="1:15" customFormat="1" x14ac:dyDescent="0.35">
      <c r="A44" s="40">
        <v>45821</v>
      </c>
      <c r="B44" s="41" t="s">
        <v>212</v>
      </c>
      <c r="C44" s="41" t="s">
        <v>213</v>
      </c>
      <c r="D44" s="41" t="s">
        <v>214</v>
      </c>
      <c r="E44" s="42"/>
      <c r="F44" s="42">
        <v>85</v>
      </c>
      <c r="G44" s="43" t="s">
        <v>104</v>
      </c>
      <c r="H44" s="44">
        <v>0.23</v>
      </c>
      <c r="I44" s="42"/>
      <c r="J44" s="42"/>
      <c r="K44" s="41" t="s">
        <v>123</v>
      </c>
      <c r="L44" s="41"/>
      <c r="M44" s="50"/>
      <c r="N44" s="46">
        <f t="shared" si="0"/>
        <v>0</v>
      </c>
      <c r="O44" s="46">
        <f t="shared" si="1"/>
        <v>15.894</v>
      </c>
    </row>
    <row r="45" spans="1:15" customFormat="1" x14ac:dyDescent="0.35">
      <c r="A45" s="40">
        <v>45821</v>
      </c>
      <c r="B45" s="41" t="s">
        <v>215</v>
      </c>
      <c r="C45" s="41" t="s">
        <v>117</v>
      </c>
      <c r="D45" s="41" t="s">
        <v>216</v>
      </c>
      <c r="E45" s="42"/>
      <c r="F45" s="42">
        <v>50</v>
      </c>
      <c r="G45" s="43" t="s">
        <v>157</v>
      </c>
      <c r="H45" s="44"/>
      <c r="I45" s="42"/>
      <c r="J45" s="42"/>
      <c r="K45" s="41" t="s">
        <v>123</v>
      </c>
      <c r="L45" s="41"/>
      <c r="M45" s="50"/>
      <c r="N45" s="46">
        <f t="shared" si="0"/>
        <v>0</v>
      </c>
      <c r="O45" s="46">
        <f t="shared" si="1"/>
        <v>0</v>
      </c>
    </row>
    <row r="46" spans="1:15" customFormat="1" x14ac:dyDescent="0.35">
      <c r="A46" s="40">
        <v>45821</v>
      </c>
      <c r="B46" s="41" t="s">
        <v>215</v>
      </c>
      <c r="C46" s="41" t="s">
        <v>117</v>
      </c>
      <c r="D46" s="41" t="s">
        <v>217</v>
      </c>
      <c r="E46" s="42"/>
      <c r="F46" s="42">
        <v>50</v>
      </c>
      <c r="G46" s="43" t="s">
        <v>157</v>
      </c>
      <c r="H46" s="44"/>
      <c r="I46" s="42"/>
      <c r="J46" s="42"/>
      <c r="K46" s="41" t="s">
        <v>123</v>
      </c>
      <c r="L46" s="41"/>
      <c r="M46" s="50"/>
      <c r="N46" s="46">
        <f t="shared" si="0"/>
        <v>0</v>
      </c>
      <c r="O46" s="46">
        <f t="shared" si="1"/>
        <v>0</v>
      </c>
    </row>
    <row r="47" spans="1:15" customFormat="1" x14ac:dyDescent="0.35">
      <c r="A47" s="40">
        <v>45837</v>
      </c>
      <c r="B47" s="41" t="s">
        <v>218</v>
      </c>
      <c r="C47" s="41" t="s">
        <v>115</v>
      </c>
      <c r="D47" s="54" t="s">
        <v>219</v>
      </c>
      <c r="E47" s="42"/>
      <c r="F47" s="42">
        <v>91.85</v>
      </c>
      <c r="G47" s="43" t="s">
        <v>104</v>
      </c>
      <c r="H47" s="44">
        <v>0.06</v>
      </c>
      <c r="I47" s="42"/>
      <c r="J47" s="42"/>
      <c r="K47" s="41"/>
      <c r="L47" s="41"/>
      <c r="M47" s="50"/>
      <c r="N47" s="46">
        <f t="shared" si="0"/>
        <v>0</v>
      </c>
      <c r="O47" s="46">
        <f t="shared" si="1"/>
        <v>5.1989999999999998</v>
      </c>
    </row>
    <row r="48" spans="1:15" customFormat="1" x14ac:dyDescent="0.35">
      <c r="A48" s="40">
        <v>45837</v>
      </c>
      <c r="B48" s="41" t="s">
        <v>220</v>
      </c>
      <c r="C48" s="41" t="s">
        <v>143</v>
      </c>
      <c r="D48" s="41" t="s">
        <v>221</v>
      </c>
      <c r="E48" s="42"/>
      <c r="F48" s="42">
        <v>127.75</v>
      </c>
      <c r="G48" s="43" t="s">
        <v>104</v>
      </c>
      <c r="H48" s="44">
        <v>0.23</v>
      </c>
      <c r="I48" s="42"/>
      <c r="J48" s="42"/>
      <c r="K48" s="41"/>
      <c r="L48" s="41"/>
      <c r="M48" s="50"/>
      <c r="N48" s="46">
        <f t="shared" si="0"/>
        <v>0</v>
      </c>
      <c r="O48" s="46">
        <f t="shared" si="1"/>
        <v>23.888000000000002</v>
      </c>
    </row>
    <row r="49" spans="1:15" customFormat="1" x14ac:dyDescent="0.35">
      <c r="A49" s="40">
        <v>45827</v>
      </c>
      <c r="B49" s="41" t="s">
        <v>222</v>
      </c>
      <c r="C49" s="41" t="s">
        <v>223</v>
      </c>
      <c r="D49" s="41" t="s">
        <v>224</v>
      </c>
      <c r="E49" s="42"/>
      <c r="F49" s="42">
        <v>144</v>
      </c>
      <c r="G49" s="43" t="s">
        <v>157</v>
      </c>
      <c r="H49" s="44"/>
      <c r="I49" s="42"/>
      <c r="J49" s="42"/>
      <c r="K49" s="41"/>
      <c r="L49" s="41"/>
      <c r="M49" s="50"/>
      <c r="N49" s="46">
        <f t="shared" si="0"/>
        <v>0</v>
      </c>
      <c r="O49" s="46">
        <f t="shared" si="1"/>
        <v>0</v>
      </c>
    </row>
    <row r="50" spans="1:15" customFormat="1" x14ac:dyDescent="0.35">
      <c r="A50" s="40">
        <v>45842</v>
      </c>
      <c r="B50" s="41" t="s">
        <v>147</v>
      </c>
      <c r="C50" s="41" t="s">
        <v>225</v>
      </c>
      <c r="D50" s="55" t="s">
        <v>226</v>
      </c>
      <c r="E50" s="42"/>
      <c r="F50" s="42">
        <v>23.4</v>
      </c>
      <c r="G50" s="43" t="s">
        <v>104</v>
      </c>
      <c r="H50" s="44">
        <v>0.23</v>
      </c>
      <c r="I50" s="42"/>
      <c r="J50" s="42"/>
      <c r="K50" s="41" t="s">
        <v>123</v>
      </c>
      <c r="L50" s="41"/>
      <c r="M50" s="50"/>
      <c r="N50" s="46">
        <f t="shared" si="0"/>
        <v>0</v>
      </c>
      <c r="O50" s="46">
        <f t="shared" si="1"/>
        <v>4.3760000000000003</v>
      </c>
    </row>
    <row r="51" spans="1:15" customFormat="1" x14ac:dyDescent="0.35">
      <c r="A51" s="40">
        <v>45844</v>
      </c>
      <c r="B51" s="41" t="s">
        <v>227</v>
      </c>
      <c r="C51" s="41" t="s">
        <v>228</v>
      </c>
      <c r="D51" s="41" t="s">
        <v>229</v>
      </c>
      <c r="E51" s="42"/>
      <c r="F51" s="42">
        <v>70.08</v>
      </c>
      <c r="G51" s="43" t="s">
        <v>104</v>
      </c>
      <c r="H51" s="44">
        <v>0.23</v>
      </c>
      <c r="I51" s="42"/>
      <c r="J51" s="42"/>
      <c r="K51" s="41" t="s">
        <v>123</v>
      </c>
      <c r="L51" s="41"/>
      <c r="M51" s="50"/>
      <c r="N51" s="46">
        <f t="shared" si="0"/>
        <v>0</v>
      </c>
      <c r="O51" s="46">
        <f t="shared" si="1"/>
        <v>13.103999999999999</v>
      </c>
    </row>
    <row r="52" spans="1:15" customFormat="1" x14ac:dyDescent="0.35">
      <c r="A52" s="40">
        <v>45841</v>
      </c>
      <c r="B52" s="41" t="s">
        <v>215</v>
      </c>
      <c r="C52" s="41" t="s">
        <v>230</v>
      </c>
      <c r="D52" s="41" t="s">
        <v>231</v>
      </c>
      <c r="E52" s="42"/>
      <c r="F52" s="42">
        <v>80</v>
      </c>
      <c r="G52" s="43" t="s">
        <v>157</v>
      </c>
      <c r="H52" s="44"/>
      <c r="I52" s="42"/>
      <c r="J52" s="42"/>
      <c r="K52" s="41" t="s">
        <v>123</v>
      </c>
      <c r="L52" s="41"/>
      <c r="M52" s="50"/>
      <c r="N52" s="46">
        <f t="shared" si="0"/>
        <v>0</v>
      </c>
      <c r="O52" s="46">
        <f t="shared" si="1"/>
        <v>0</v>
      </c>
    </row>
    <row r="53" spans="1:15" customFormat="1" x14ac:dyDescent="0.35">
      <c r="A53" s="40">
        <v>45838</v>
      </c>
      <c r="B53" s="41" t="s">
        <v>158</v>
      </c>
      <c r="C53" s="41" t="s">
        <v>159</v>
      </c>
      <c r="D53" s="41" t="s">
        <v>232</v>
      </c>
      <c r="E53" s="42"/>
      <c r="F53" s="42">
        <f>22+2.8+1.6+6.15</f>
        <v>32.550000000000004</v>
      </c>
      <c r="G53" s="43" t="s">
        <v>104</v>
      </c>
      <c r="H53" s="44"/>
      <c r="I53" s="42"/>
      <c r="J53" s="42"/>
      <c r="K53" s="41" t="s">
        <v>123</v>
      </c>
      <c r="L53" s="41"/>
      <c r="M53" s="50"/>
      <c r="N53" s="46">
        <f t="shared" si="0"/>
        <v>0</v>
      </c>
      <c r="O53" s="46">
        <f t="shared" si="1"/>
        <v>0</v>
      </c>
    </row>
    <row r="54" spans="1:15" customFormat="1" x14ac:dyDescent="0.35">
      <c r="A54" s="40">
        <v>45846</v>
      </c>
      <c r="B54" s="41" t="s">
        <v>147</v>
      </c>
      <c r="C54" s="41" t="s">
        <v>233</v>
      </c>
      <c r="D54" s="41" t="s">
        <v>234</v>
      </c>
      <c r="E54" s="42"/>
      <c r="F54" s="42">
        <v>7</v>
      </c>
      <c r="G54" s="43" t="s">
        <v>104</v>
      </c>
      <c r="H54" s="44">
        <v>0.23</v>
      </c>
      <c r="I54" s="42"/>
      <c r="J54" s="42"/>
      <c r="K54" s="41"/>
      <c r="L54" s="41"/>
      <c r="M54" s="50"/>
      <c r="N54" s="46">
        <f t="shared" si="0"/>
        <v>0</v>
      </c>
      <c r="O54" s="46">
        <f t="shared" si="1"/>
        <v>1.3089999999999999</v>
      </c>
    </row>
    <row r="55" spans="1:15" customFormat="1" x14ac:dyDescent="0.35">
      <c r="A55" s="40">
        <v>45843</v>
      </c>
      <c r="B55" s="41" t="s">
        <v>108</v>
      </c>
      <c r="C55" s="41" t="s">
        <v>235</v>
      </c>
      <c r="D55" s="41" t="s">
        <v>236</v>
      </c>
      <c r="E55" s="42"/>
      <c r="F55" s="42">
        <v>20</v>
      </c>
      <c r="G55" s="43" t="s">
        <v>104</v>
      </c>
      <c r="H55" s="44">
        <v>0.23</v>
      </c>
      <c r="I55" s="42"/>
      <c r="J55" s="42"/>
      <c r="K55" s="41"/>
      <c r="L55" s="41"/>
      <c r="M55" s="50"/>
      <c r="N55" s="46">
        <f t="shared" si="0"/>
        <v>0</v>
      </c>
      <c r="O55" s="46">
        <f t="shared" si="1"/>
        <v>3.74</v>
      </c>
    </row>
    <row r="56" spans="1:15" customFormat="1" x14ac:dyDescent="0.35">
      <c r="A56" s="40">
        <v>45849</v>
      </c>
      <c r="B56" s="41" t="s">
        <v>237</v>
      </c>
      <c r="C56" s="41" t="s">
        <v>238</v>
      </c>
      <c r="D56" s="51" t="s">
        <v>239</v>
      </c>
      <c r="E56" s="42"/>
      <c r="F56" s="42">
        <v>11.7</v>
      </c>
      <c r="G56" s="43" t="s">
        <v>104</v>
      </c>
      <c r="H56" s="44">
        <v>0.23</v>
      </c>
      <c r="I56" s="42"/>
      <c r="J56" s="42"/>
      <c r="K56" s="41" t="s">
        <v>123</v>
      </c>
      <c r="L56" s="41"/>
      <c r="M56" s="50"/>
      <c r="N56" s="46">
        <f t="shared" si="0"/>
        <v>0</v>
      </c>
      <c r="O56" s="46">
        <f t="shared" si="1"/>
        <v>2.1880000000000002</v>
      </c>
    </row>
    <row r="57" spans="1:15" customFormat="1" x14ac:dyDescent="0.35">
      <c r="A57" s="40">
        <v>45856</v>
      </c>
      <c r="B57" s="41" t="s">
        <v>240</v>
      </c>
      <c r="C57" s="41" t="s">
        <v>241</v>
      </c>
      <c r="D57" s="41" t="s">
        <v>242</v>
      </c>
      <c r="E57" s="42"/>
      <c r="F57" s="42">
        <v>18.93</v>
      </c>
      <c r="G57" s="43" t="s">
        <v>104</v>
      </c>
      <c r="H57" s="44">
        <v>0.23</v>
      </c>
      <c r="I57" s="42"/>
      <c r="J57" s="42"/>
      <c r="K57" s="41" t="s">
        <v>123</v>
      </c>
      <c r="L57" s="41"/>
      <c r="M57" s="50"/>
      <c r="N57" s="46">
        <f t="shared" si="0"/>
        <v>0</v>
      </c>
      <c r="O57" s="46">
        <f t="shared" si="1"/>
        <v>3.54</v>
      </c>
    </row>
    <row r="58" spans="1:15" customFormat="1" x14ac:dyDescent="0.35">
      <c r="A58" s="40">
        <v>45848</v>
      </c>
      <c r="B58" s="41" t="s">
        <v>147</v>
      </c>
      <c r="C58" s="41" t="s">
        <v>243</v>
      </c>
      <c r="D58" s="41" t="s">
        <v>244</v>
      </c>
      <c r="E58" s="42"/>
      <c r="F58" s="42">
        <v>19.2</v>
      </c>
      <c r="G58" s="43" t="s">
        <v>104</v>
      </c>
      <c r="H58" s="44">
        <v>0.23</v>
      </c>
      <c r="I58" s="42"/>
      <c r="J58" s="42"/>
      <c r="K58" s="41"/>
      <c r="L58" s="41"/>
      <c r="M58" s="50"/>
      <c r="N58" s="46">
        <f t="shared" si="0"/>
        <v>0</v>
      </c>
      <c r="O58" s="46">
        <f t="shared" si="1"/>
        <v>3.59</v>
      </c>
    </row>
    <row r="59" spans="1:15" customFormat="1" x14ac:dyDescent="0.35">
      <c r="A59" s="40">
        <v>45855</v>
      </c>
      <c r="B59" s="41" t="s">
        <v>147</v>
      </c>
      <c r="C59" s="41" t="s">
        <v>245</v>
      </c>
      <c r="D59" s="41" t="s">
        <v>246</v>
      </c>
      <c r="E59" s="42"/>
      <c r="F59" s="42">
        <v>52.5</v>
      </c>
      <c r="G59" s="43" t="s">
        <v>104</v>
      </c>
      <c r="H59" s="44">
        <v>0.23</v>
      </c>
      <c r="I59" s="42"/>
      <c r="J59" s="42"/>
      <c r="K59" s="41" t="s">
        <v>125</v>
      </c>
      <c r="L59" s="41"/>
      <c r="M59" s="50"/>
      <c r="N59" s="46">
        <f t="shared" si="0"/>
        <v>0</v>
      </c>
      <c r="O59" s="46">
        <f t="shared" si="1"/>
        <v>9.8170000000000002</v>
      </c>
    </row>
    <row r="60" spans="1:15" customFormat="1" x14ac:dyDescent="0.35">
      <c r="A60" s="40">
        <v>45862</v>
      </c>
      <c r="B60" s="41" t="s">
        <v>251</v>
      </c>
      <c r="C60" s="41" t="s">
        <v>252</v>
      </c>
      <c r="D60" s="41" t="s">
        <v>253</v>
      </c>
      <c r="E60" s="42"/>
      <c r="F60" s="42">
        <f>2600+598</f>
        <v>3198</v>
      </c>
      <c r="G60" s="43" t="s">
        <v>104</v>
      </c>
      <c r="H60" s="44">
        <v>0.23</v>
      </c>
      <c r="I60" s="42">
        <v>598</v>
      </c>
      <c r="J60" s="42"/>
      <c r="K60" s="41" t="s">
        <v>123</v>
      </c>
      <c r="L60" s="41"/>
      <c r="M60" s="50"/>
      <c r="N60" s="46">
        <f t="shared" si="0"/>
        <v>0</v>
      </c>
      <c r="O60" s="46">
        <f t="shared" si="1"/>
        <v>598</v>
      </c>
    </row>
    <row r="61" spans="1:15" customFormat="1" x14ac:dyDescent="0.35">
      <c r="A61" s="40">
        <v>45868</v>
      </c>
      <c r="B61" s="41" t="s">
        <v>129</v>
      </c>
      <c r="C61" s="41" t="s">
        <v>105</v>
      </c>
      <c r="D61" s="41" t="s">
        <v>300</v>
      </c>
      <c r="E61" s="42">
        <v>3198</v>
      </c>
      <c r="F61" s="42"/>
      <c r="G61" s="43" t="s">
        <v>104</v>
      </c>
      <c r="H61" s="44">
        <v>0.23</v>
      </c>
      <c r="I61" s="42"/>
      <c r="J61" s="42"/>
      <c r="K61" s="41"/>
      <c r="L61" s="41"/>
      <c r="M61" s="50"/>
      <c r="N61" s="46">
        <f t="shared" si="0"/>
        <v>598</v>
      </c>
      <c r="O61" s="46">
        <f t="shared" si="1"/>
        <v>0</v>
      </c>
    </row>
    <row r="62" spans="1:15" customFormat="1" x14ac:dyDescent="0.35">
      <c r="A62" s="40">
        <v>45747</v>
      </c>
      <c r="B62" s="41" t="s">
        <v>129</v>
      </c>
      <c r="C62" s="41" t="s">
        <v>105</v>
      </c>
      <c r="D62" s="41" t="s">
        <v>301</v>
      </c>
      <c r="E62" s="42">
        <v>1526.43</v>
      </c>
      <c r="F62" s="42"/>
      <c r="G62" s="43" t="s">
        <v>104</v>
      </c>
      <c r="H62" s="44">
        <v>0.23</v>
      </c>
      <c r="I62" s="42"/>
      <c r="J62" s="42"/>
      <c r="K62" s="41" t="s">
        <v>123</v>
      </c>
      <c r="L62" s="41"/>
      <c r="M62" s="50"/>
      <c r="N62" s="46">
        <f t="shared" si="0"/>
        <v>285.43</v>
      </c>
      <c r="O62" s="46">
        <f t="shared" si="1"/>
        <v>0</v>
      </c>
    </row>
    <row r="63" spans="1:15" customFormat="1" x14ac:dyDescent="0.35">
      <c r="A63" s="40">
        <v>45840</v>
      </c>
      <c r="B63" s="41" t="s">
        <v>129</v>
      </c>
      <c r="C63" s="41" t="s">
        <v>105</v>
      </c>
      <c r="D63" s="41" t="s">
        <v>302</v>
      </c>
      <c r="E63" s="42">
        <v>892.67</v>
      </c>
      <c r="F63" s="42"/>
      <c r="G63" s="43" t="s">
        <v>104</v>
      </c>
      <c r="H63" s="44">
        <v>0.23</v>
      </c>
      <c r="I63" s="42"/>
      <c r="J63" s="42"/>
      <c r="K63" s="41" t="s">
        <v>123</v>
      </c>
      <c r="L63" s="41"/>
      <c r="M63" s="50"/>
      <c r="N63" s="46">
        <f t="shared" si="0"/>
        <v>166.922</v>
      </c>
      <c r="O63" s="46">
        <f t="shared" si="1"/>
        <v>0</v>
      </c>
    </row>
    <row r="64" spans="1:15" customFormat="1" x14ac:dyDescent="0.35">
      <c r="A64" s="40">
        <v>45870</v>
      </c>
      <c r="B64" s="41" t="s">
        <v>129</v>
      </c>
      <c r="C64" s="41" t="s">
        <v>105</v>
      </c>
      <c r="D64" s="41" t="s">
        <v>305</v>
      </c>
      <c r="E64" s="42">
        <v>2367.75</v>
      </c>
      <c r="F64" s="42"/>
      <c r="G64" s="43" t="s">
        <v>104</v>
      </c>
      <c r="H64" s="44">
        <v>0.23</v>
      </c>
      <c r="I64" s="42"/>
      <c r="J64" s="42"/>
      <c r="K64" s="41" t="s">
        <v>123</v>
      </c>
      <c r="L64" s="41"/>
      <c r="M64" s="50"/>
      <c r="N64" s="46">
        <f t="shared" si="0"/>
        <v>442.75</v>
      </c>
      <c r="O64" s="46">
        <f t="shared" si="1"/>
        <v>0</v>
      </c>
    </row>
    <row r="65" spans="1:15" customFormat="1" x14ac:dyDescent="0.35">
      <c r="A65" s="40">
        <v>45869</v>
      </c>
      <c r="B65" s="41" t="s">
        <v>158</v>
      </c>
      <c r="C65" s="41" t="s">
        <v>159</v>
      </c>
      <c r="D65" s="41" t="s">
        <v>254</v>
      </c>
      <c r="E65" s="42"/>
      <c r="F65" s="42">
        <v>150.19</v>
      </c>
      <c r="G65" s="43" t="s">
        <v>104</v>
      </c>
      <c r="H65" s="44">
        <v>0.23</v>
      </c>
      <c r="I65" s="42"/>
      <c r="J65" s="42"/>
      <c r="K65" s="41" t="s">
        <v>123</v>
      </c>
      <c r="L65" s="41"/>
      <c r="M65" s="50"/>
      <c r="N65" s="46">
        <f t="shared" si="0"/>
        <v>0</v>
      </c>
      <c r="O65" s="46">
        <f t="shared" si="1"/>
        <v>28.084</v>
      </c>
    </row>
    <row r="66" spans="1:15" customFormat="1" x14ac:dyDescent="0.35">
      <c r="A66" s="40">
        <v>45870</v>
      </c>
      <c r="B66" s="41" t="s">
        <v>255</v>
      </c>
      <c r="C66" s="41" t="s">
        <v>256</v>
      </c>
      <c r="D66" s="41" t="s">
        <v>257</v>
      </c>
      <c r="E66" s="42"/>
      <c r="F66" s="42">
        <v>35.21</v>
      </c>
      <c r="G66" s="43" t="s">
        <v>157</v>
      </c>
      <c r="H66" s="44"/>
      <c r="I66" s="42"/>
      <c r="J66" s="42"/>
      <c r="K66" s="41"/>
      <c r="L66" s="41"/>
      <c r="M66" s="50"/>
      <c r="N66" s="46">
        <f t="shared" si="0"/>
        <v>0</v>
      </c>
      <c r="O66" s="46">
        <f t="shared" si="1"/>
        <v>0</v>
      </c>
    </row>
    <row r="67" spans="1:15" customFormat="1" x14ac:dyDescent="0.35">
      <c r="A67" s="40">
        <v>45873</v>
      </c>
      <c r="B67" s="41" t="s">
        <v>258</v>
      </c>
      <c r="C67" s="41" t="s">
        <v>259</v>
      </c>
      <c r="D67" s="41"/>
      <c r="E67" s="42"/>
      <c r="F67" s="42">
        <v>31.79</v>
      </c>
      <c r="G67" s="43" t="s">
        <v>157</v>
      </c>
      <c r="H67" s="44"/>
      <c r="I67" s="42"/>
      <c r="J67" s="42"/>
      <c r="K67" s="41"/>
      <c r="L67" s="41"/>
      <c r="M67" s="50"/>
      <c r="N67" s="46">
        <f t="shared" ref="N67:N92" si="2">IF(G67="SIM",ROUND(E67-(E67/1.23),3),0)</f>
        <v>0</v>
      </c>
      <c r="O67" s="46">
        <f t="shared" ref="O67:O92" si="3">IF(G67="SIM",ROUND(F67-(F67/(1+H67)),3),0)</f>
        <v>0</v>
      </c>
    </row>
    <row r="68" spans="1:15" customFormat="1" x14ac:dyDescent="0.35">
      <c r="A68" s="40">
        <v>45848</v>
      </c>
      <c r="B68" s="41" t="s">
        <v>187</v>
      </c>
      <c r="C68" s="41" t="s">
        <v>188</v>
      </c>
      <c r="D68" s="41"/>
      <c r="E68" s="42"/>
      <c r="F68" s="42">
        <v>200</v>
      </c>
      <c r="G68" s="43" t="s">
        <v>157</v>
      </c>
      <c r="H68" s="44"/>
      <c r="I68" s="42"/>
      <c r="J68" s="42"/>
      <c r="K68" s="41"/>
      <c r="L68" s="41"/>
      <c r="M68" s="50"/>
      <c r="N68" s="46">
        <f t="shared" si="2"/>
        <v>0</v>
      </c>
      <c r="O68" s="46">
        <f t="shared" si="3"/>
        <v>0</v>
      </c>
    </row>
    <row r="69" spans="1:15" customFormat="1" x14ac:dyDescent="0.35">
      <c r="A69" s="40">
        <v>45870</v>
      </c>
      <c r="B69" s="41" t="s">
        <v>147</v>
      </c>
      <c r="C69" s="41" t="s">
        <v>243</v>
      </c>
      <c r="D69" s="41" t="s">
        <v>260</v>
      </c>
      <c r="E69" s="42"/>
      <c r="F69" s="42">
        <v>8.6</v>
      </c>
      <c r="G69" s="43" t="s">
        <v>104</v>
      </c>
      <c r="H69" s="44">
        <v>0.23</v>
      </c>
      <c r="I69" s="42"/>
      <c r="J69" s="42"/>
      <c r="K69" s="41"/>
      <c r="L69" s="41"/>
      <c r="M69" s="50"/>
      <c r="N69" s="46">
        <f t="shared" si="2"/>
        <v>0</v>
      </c>
      <c r="O69" s="46">
        <f t="shared" si="3"/>
        <v>1.6080000000000001</v>
      </c>
    </row>
    <row r="70" spans="1:15" customFormat="1" x14ac:dyDescent="0.35">
      <c r="A70" s="40">
        <v>45872</v>
      </c>
      <c r="B70" s="41" t="s">
        <v>116</v>
      </c>
      <c r="C70" s="41" t="s">
        <v>261</v>
      </c>
      <c r="D70" s="41" t="s">
        <v>262</v>
      </c>
      <c r="E70" s="42"/>
      <c r="F70" s="42">
        <v>56</v>
      </c>
      <c r="G70" s="43" t="s">
        <v>157</v>
      </c>
      <c r="H70" s="44"/>
      <c r="I70" s="42"/>
      <c r="J70" s="42"/>
      <c r="K70" s="41"/>
      <c r="L70" s="41"/>
      <c r="M70" s="50"/>
      <c r="N70" s="46">
        <f t="shared" si="2"/>
        <v>0</v>
      </c>
      <c r="O70" s="46">
        <f t="shared" si="3"/>
        <v>0</v>
      </c>
    </row>
    <row r="71" spans="1:15" customFormat="1" x14ac:dyDescent="0.35">
      <c r="A71" s="40">
        <v>45876</v>
      </c>
      <c r="B71" s="41" t="s">
        <v>147</v>
      </c>
      <c r="C71" s="41" t="s">
        <v>263</v>
      </c>
      <c r="D71" s="41" t="s">
        <v>264</v>
      </c>
      <c r="E71" s="42"/>
      <c r="F71" s="42">
        <v>14.9</v>
      </c>
      <c r="G71" s="43" t="s">
        <v>104</v>
      </c>
      <c r="H71" s="44">
        <v>0.23</v>
      </c>
      <c r="I71" s="42"/>
      <c r="J71" s="42"/>
      <c r="K71" s="41"/>
      <c r="L71" s="41"/>
      <c r="M71" s="50"/>
      <c r="N71" s="46">
        <f t="shared" si="2"/>
        <v>0</v>
      </c>
      <c r="O71" s="46">
        <f t="shared" si="3"/>
        <v>2.786</v>
      </c>
    </row>
    <row r="72" spans="1:15" customFormat="1" x14ac:dyDescent="0.35">
      <c r="A72" s="40">
        <v>45878</v>
      </c>
      <c r="B72" s="41" t="s">
        <v>147</v>
      </c>
      <c r="C72" s="52" t="s">
        <v>148</v>
      </c>
      <c r="D72" s="41" t="s">
        <v>265</v>
      </c>
      <c r="E72" s="42"/>
      <c r="F72" s="42">
        <v>14.01</v>
      </c>
      <c r="G72" s="43" t="s">
        <v>104</v>
      </c>
      <c r="H72" s="44">
        <v>0.23</v>
      </c>
      <c r="I72" s="42"/>
      <c r="J72" s="42"/>
      <c r="K72" s="41"/>
      <c r="L72" s="41"/>
      <c r="M72" s="50"/>
      <c r="N72" s="46">
        <f t="shared" si="2"/>
        <v>0</v>
      </c>
      <c r="O72" s="46">
        <f t="shared" si="3"/>
        <v>2.62</v>
      </c>
    </row>
    <row r="73" spans="1:15" customFormat="1" x14ac:dyDescent="0.35">
      <c r="A73" s="40">
        <v>45879</v>
      </c>
      <c r="B73" s="41" t="s">
        <v>266</v>
      </c>
      <c r="C73" s="41" t="s">
        <v>267</v>
      </c>
      <c r="D73" s="41" t="s">
        <v>268</v>
      </c>
      <c r="E73" s="42"/>
      <c r="F73" s="42">
        <f>678.47-3.49</f>
        <v>674.98</v>
      </c>
      <c r="G73" s="43" t="s">
        <v>104</v>
      </c>
      <c r="H73" s="44">
        <v>0.23</v>
      </c>
      <c r="I73" s="42"/>
      <c r="J73" s="42"/>
      <c r="K73" s="41"/>
      <c r="L73" s="41"/>
      <c r="M73" s="50"/>
      <c r="N73" s="46">
        <f t="shared" si="2"/>
        <v>0</v>
      </c>
      <c r="O73" s="46">
        <f t="shared" si="3"/>
        <v>126.21599999999999</v>
      </c>
    </row>
    <row r="74" spans="1:15" customFormat="1" x14ac:dyDescent="0.35">
      <c r="A74" s="40">
        <v>45879</v>
      </c>
      <c r="B74" s="41" t="s">
        <v>269</v>
      </c>
      <c r="C74" s="41" t="s">
        <v>270</v>
      </c>
      <c r="D74" s="41" t="s">
        <v>271</v>
      </c>
      <c r="E74" s="42"/>
      <c r="F74" s="42">
        <v>230</v>
      </c>
      <c r="G74" s="43" t="s">
        <v>104</v>
      </c>
      <c r="H74" s="44">
        <v>0.23</v>
      </c>
      <c r="I74" s="42"/>
      <c r="J74" s="42"/>
      <c r="K74" s="41"/>
      <c r="L74" s="41"/>
      <c r="M74" s="50"/>
      <c r="N74" s="46">
        <f t="shared" si="2"/>
        <v>0</v>
      </c>
      <c r="O74" s="46">
        <f t="shared" si="3"/>
        <v>43.008000000000003</v>
      </c>
    </row>
    <row r="75" spans="1:15" customFormat="1" x14ac:dyDescent="0.35">
      <c r="A75" s="40">
        <v>45885</v>
      </c>
      <c r="B75" s="41" t="s">
        <v>147</v>
      </c>
      <c r="C75" s="41" t="s">
        <v>148</v>
      </c>
      <c r="D75" s="41" t="s">
        <v>272</v>
      </c>
      <c r="E75" s="42"/>
      <c r="F75" s="42">
        <v>17.28</v>
      </c>
      <c r="G75" s="43" t="s">
        <v>104</v>
      </c>
      <c r="H75" s="44">
        <v>0.23</v>
      </c>
      <c r="I75" s="42"/>
      <c r="J75" s="42"/>
      <c r="K75" s="41" t="s">
        <v>125</v>
      </c>
      <c r="L75" s="41"/>
      <c r="M75" s="50"/>
      <c r="N75" s="46">
        <f t="shared" si="2"/>
        <v>0</v>
      </c>
      <c r="O75" s="46">
        <f t="shared" si="3"/>
        <v>3.2309999999999999</v>
      </c>
    </row>
    <row r="76" spans="1:15" customFormat="1" x14ac:dyDescent="0.35">
      <c r="A76" s="40">
        <v>45888</v>
      </c>
      <c r="B76" s="41" t="s">
        <v>273</v>
      </c>
      <c r="C76" s="41" t="s">
        <v>274</v>
      </c>
      <c r="D76" s="41" t="s">
        <v>275</v>
      </c>
      <c r="E76" s="42"/>
      <c r="F76" s="42">
        <v>49.99</v>
      </c>
      <c r="G76" s="43" t="s">
        <v>104</v>
      </c>
      <c r="H76" s="44">
        <v>0.23</v>
      </c>
      <c r="I76" s="42"/>
      <c r="J76" s="42"/>
      <c r="K76" s="41" t="s">
        <v>125</v>
      </c>
      <c r="L76" s="41"/>
      <c r="M76" s="50"/>
      <c r="N76" s="46">
        <f t="shared" si="2"/>
        <v>0</v>
      </c>
      <c r="O76" s="46">
        <f t="shared" si="3"/>
        <v>9.3480000000000008</v>
      </c>
    </row>
    <row r="77" spans="1:15" customFormat="1" x14ac:dyDescent="0.35">
      <c r="A77" s="40">
        <v>45889</v>
      </c>
      <c r="B77" s="41" t="s">
        <v>147</v>
      </c>
      <c r="C77" s="41" t="s">
        <v>175</v>
      </c>
      <c r="D77" s="52" t="s">
        <v>276</v>
      </c>
      <c r="E77" s="42"/>
      <c r="F77" s="42">
        <v>9.2100000000000009</v>
      </c>
      <c r="G77" s="43" t="s">
        <v>104</v>
      </c>
      <c r="H77" s="44">
        <v>0.23</v>
      </c>
      <c r="I77" s="42"/>
      <c r="J77" s="42"/>
      <c r="K77" s="41"/>
      <c r="L77" s="41"/>
      <c r="M77" s="50"/>
      <c r="N77" s="46">
        <f t="shared" si="2"/>
        <v>0</v>
      </c>
      <c r="O77" s="46">
        <f t="shared" si="3"/>
        <v>1.722</v>
      </c>
    </row>
    <row r="78" spans="1:15" customFormat="1" x14ac:dyDescent="0.35">
      <c r="A78" s="40">
        <v>45889</v>
      </c>
      <c r="B78" s="41" t="s">
        <v>129</v>
      </c>
      <c r="C78" s="41" t="s">
        <v>105</v>
      </c>
      <c r="D78" s="41" t="s">
        <v>304</v>
      </c>
      <c r="E78" s="42">
        <v>3831.43</v>
      </c>
      <c r="F78" s="42"/>
      <c r="G78" s="43" t="s">
        <v>104</v>
      </c>
      <c r="H78" s="44">
        <v>0.23</v>
      </c>
      <c r="I78" s="42"/>
      <c r="J78" s="42"/>
      <c r="K78" s="41" t="s">
        <v>123</v>
      </c>
      <c r="L78" s="41"/>
      <c r="M78" s="50"/>
      <c r="N78" s="46">
        <f t="shared" si="2"/>
        <v>716.44600000000003</v>
      </c>
      <c r="O78" s="46">
        <f t="shared" si="3"/>
        <v>0</v>
      </c>
    </row>
    <row r="79" spans="1:15" customFormat="1" x14ac:dyDescent="0.35">
      <c r="A79" s="40">
        <v>45883</v>
      </c>
      <c r="B79" s="41" t="s">
        <v>129</v>
      </c>
      <c r="C79" s="41" t="s">
        <v>277</v>
      </c>
      <c r="D79" s="41" t="s">
        <v>278</v>
      </c>
      <c r="E79" s="42"/>
      <c r="F79" s="42">
        <v>3831.43</v>
      </c>
      <c r="G79" s="43" t="s">
        <v>104</v>
      </c>
      <c r="H79" s="44">
        <v>0.23</v>
      </c>
      <c r="I79" s="42">
        <v>716.45</v>
      </c>
      <c r="J79" s="42"/>
      <c r="K79" s="41"/>
      <c r="L79" s="41"/>
      <c r="M79" s="50"/>
      <c r="N79" s="46">
        <f t="shared" si="2"/>
        <v>0</v>
      </c>
      <c r="O79" s="46">
        <f t="shared" si="3"/>
        <v>716.44600000000003</v>
      </c>
    </row>
    <row r="80" spans="1:15" customFormat="1" x14ac:dyDescent="0.35">
      <c r="A80" s="40">
        <v>45893</v>
      </c>
      <c r="B80" s="41" t="s">
        <v>279</v>
      </c>
      <c r="C80" s="41" t="s">
        <v>117</v>
      </c>
      <c r="D80" s="41" t="s">
        <v>280</v>
      </c>
      <c r="E80" s="42"/>
      <c r="F80" s="42">
        <v>44.07</v>
      </c>
      <c r="G80" s="43" t="s">
        <v>104</v>
      </c>
      <c r="H80" s="44">
        <v>0.23</v>
      </c>
      <c r="I80" s="42"/>
      <c r="J80" s="42"/>
      <c r="K80" s="41" t="s">
        <v>123</v>
      </c>
      <c r="L80" s="41"/>
      <c r="M80" s="50"/>
      <c r="N80" s="46">
        <f t="shared" si="2"/>
        <v>0</v>
      </c>
      <c r="O80" s="46">
        <f t="shared" si="3"/>
        <v>8.2409999999999997</v>
      </c>
    </row>
    <row r="81" spans="1:15" customFormat="1" x14ac:dyDescent="0.35">
      <c r="A81" s="40">
        <v>45892</v>
      </c>
      <c r="B81" s="41" t="s">
        <v>147</v>
      </c>
      <c r="C81" s="41" t="s">
        <v>281</v>
      </c>
      <c r="D81" s="41" t="s">
        <v>282</v>
      </c>
      <c r="E81" s="42"/>
      <c r="F81" s="42">
        <v>29.63</v>
      </c>
      <c r="G81" s="43" t="s">
        <v>104</v>
      </c>
      <c r="H81" s="44">
        <v>0.23</v>
      </c>
      <c r="I81" s="42"/>
      <c r="J81" s="42"/>
      <c r="K81" s="41" t="s">
        <v>123</v>
      </c>
      <c r="L81" s="41"/>
      <c r="M81" s="50"/>
      <c r="N81" s="46">
        <f t="shared" si="2"/>
        <v>0</v>
      </c>
      <c r="O81" s="46">
        <f t="shared" si="3"/>
        <v>5.5410000000000004</v>
      </c>
    </row>
    <row r="82" spans="1:15" customFormat="1" x14ac:dyDescent="0.35">
      <c r="A82" s="40">
        <v>45892</v>
      </c>
      <c r="B82" s="41" t="s">
        <v>218</v>
      </c>
      <c r="C82" s="41" t="s">
        <v>115</v>
      </c>
      <c r="D82" s="41" t="s">
        <v>283</v>
      </c>
      <c r="E82" s="42"/>
      <c r="F82" s="42">
        <v>30.79</v>
      </c>
      <c r="G82" s="43" t="s">
        <v>104</v>
      </c>
      <c r="H82" s="44">
        <v>0.23</v>
      </c>
      <c r="I82" s="42"/>
      <c r="J82" s="42"/>
      <c r="K82" s="41" t="s">
        <v>123</v>
      </c>
      <c r="L82" s="41"/>
      <c r="M82" s="50"/>
      <c r="N82" s="46">
        <f t="shared" si="2"/>
        <v>0</v>
      </c>
      <c r="O82" s="46">
        <f t="shared" si="3"/>
        <v>5.7569999999999997</v>
      </c>
    </row>
    <row r="83" spans="1:15" customFormat="1" x14ac:dyDescent="0.35">
      <c r="A83" s="40">
        <v>45893</v>
      </c>
      <c r="B83" s="41" t="s">
        <v>284</v>
      </c>
      <c r="C83" s="41" t="s">
        <v>143</v>
      </c>
      <c r="D83" s="41" t="s">
        <v>285</v>
      </c>
      <c r="E83" s="42"/>
      <c r="F83" s="42">
        <v>1.56</v>
      </c>
      <c r="G83" s="43" t="s">
        <v>104</v>
      </c>
      <c r="H83" s="44">
        <v>0.23</v>
      </c>
      <c r="I83" s="42"/>
      <c r="J83" s="42"/>
      <c r="K83" s="41"/>
      <c r="L83" s="41"/>
      <c r="M83" s="50"/>
      <c r="N83" s="46">
        <f t="shared" si="2"/>
        <v>0</v>
      </c>
      <c r="O83" s="46">
        <f t="shared" si="3"/>
        <v>0.29199999999999998</v>
      </c>
    </row>
    <row r="84" spans="1:15" customFormat="1" x14ac:dyDescent="0.35">
      <c r="A84" s="40">
        <v>45894</v>
      </c>
      <c r="B84" s="41" t="s">
        <v>129</v>
      </c>
      <c r="C84" s="41" t="s">
        <v>252</v>
      </c>
      <c r="D84" s="41" t="s">
        <v>311</v>
      </c>
      <c r="E84" s="42"/>
      <c r="F84" s="42">
        <f>2619+602.37</f>
        <v>3221.37</v>
      </c>
      <c r="G84" s="43" t="s">
        <v>104</v>
      </c>
      <c r="H84" s="44">
        <v>0.23</v>
      </c>
      <c r="I84" s="42">
        <v>602.37</v>
      </c>
      <c r="J84" s="42"/>
      <c r="K84" s="41" t="s">
        <v>123</v>
      </c>
      <c r="L84" s="41"/>
      <c r="M84" s="50"/>
      <c r="N84" s="46">
        <f t="shared" si="2"/>
        <v>0</v>
      </c>
      <c r="O84" s="46">
        <f t="shared" si="3"/>
        <v>602.37</v>
      </c>
    </row>
    <row r="85" spans="1:15" customFormat="1" x14ac:dyDescent="0.35">
      <c r="A85" s="40">
        <v>45894</v>
      </c>
      <c r="B85" s="41" t="s">
        <v>147</v>
      </c>
      <c r="C85" s="41" t="s">
        <v>286</v>
      </c>
      <c r="D85" s="41" t="s">
        <v>287</v>
      </c>
      <c r="E85" s="42"/>
      <c r="F85" s="42">
        <v>17.2</v>
      </c>
      <c r="G85" s="43" t="s">
        <v>104</v>
      </c>
      <c r="H85" s="44">
        <v>0.23</v>
      </c>
      <c r="I85" s="42"/>
      <c r="J85" s="42"/>
      <c r="K85" s="41" t="s">
        <v>125</v>
      </c>
      <c r="L85" s="41"/>
      <c r="M85" s="50"/>
      <c r="N85" s="46">
        <f t="shared" si="2"/>
        <v>0</v>
      </c>
      <c r="O85" s="46">
        <f t="shared" si="3"/>
        <v>3.2160000000000002</v>
      </c>
    </row>
    <row r="86" spans="1:15" customFormat="1" x14ac:dyDescent="0.35">
      <c r="A86" s="40">
        <v>45825</v>
      </c>
      <c r="B86" s="41" t="s">
        <v>129</v>
      </c>
      <c r="C86" s="41" t="s">
        <v>105</v>
      </c>
      <c r="D86" s="52" t="s">
        <v>303</v>
      </c>
      <c r="E86" s="42">
        <v>2872.05</v>
      </c>
      <c r="F86" s="42"/>
      <c r="G86" s="43" t="s">
        <v>104</v>
      </c>
      <c r="H86" s="44">
        <v>0.23</v>
      </c>
      <c r="I86" s="42"/>
      <c r="J86" s="42"/>
      <c r="K86" s="41" t="s">
        <v>123</v>
      </c>
      <c r="L86" s="41"/>
      <c r="M86" s="50"/>
      <c r="N86" s="46">
        <f t="shared" si="2"/>
        <v>537.04999999999995</v>
      </c>
      <c r="O86" s="46">
        <f t="shared" si="3"/>
        <v>0</v>
      </c>
    </row>
    <row r="87" spans="1:15" customFormat="1" x14ac:dyDescent="0.35">
      <c r="A87" s="40">
        <v>45895</v>
      </c>
      <c r="B87" s="41" t="s">
        <v>129</v>
      </c>
      <c r="C87" s="41" t="s">
        <v>105</v>
      </c>
      <c r="D87" s="41" t="s">
        <v>306</v>
      </c>
      <c r="E87" s="42">
        <v>3221.37</v>
      </c>
      <c r="F87" s="42"/>
      <c r="G87" s="43" t="s">
        <v>104</v>
      </c>
      <c r="H87" s="44">
        <v>0.23</v>
      </c>
      <c r="I87" s="42"/>
      <c r="J87" s="42"/>
      <c r="K87" s="41" t="s">
        <v>123</v>
      </c>
      <c r="L87" s="41"/>
      <c r="M87" s="50"/>
      <c r="N87" s="46">
        <f t="shared" si="2"/>
        <v>602.37</v>
      </c>
      <c r="O87" s="46">
        <f t="shared" si="3"/>
        <v>0</v>
      </c>
    </row>
    <row r="88" spans="1:15" customFormat="1" x14ac:dyDescent="0.35">
      <c r="A88" s="40">
        <v>45909</v>
      </c>
      <c r="B88" s="41" t="s">
        <v>147</v>
      </c>
      <c r="C88" s="41" t="s">
        <v>288</v>
      </c>
      <c r="D88" s="41" t="s">
        <v>289</v>
      </c>
      <c r="E88" s="42"/>
      <c r="F88" s="42">
        <v>24.3</v>
      </c>
      <c r="G88" s="43" t="s">
        <v>104</v>
      </c>
      <c r="H88" s="44">
        <v>0.23</v>
      </c>
      <c r="I88" s="42"/>
      <c r="J88" s="42"/>
      <c r="K88" s="41" t="s">
        <v>125</v>
      </c>
      <c r="L88" s="41"/>
      <c r="M88" s="50"/>
      <c r="N88" s="46">
        <f t="shared" si="2"/>
        <v>0</v>
      </c>
      <c r="O88" s="46">
        <f t="shared" si="3"/>
        <v>4.5439999999999996</v>
      </c>
    </row>
    <row r="89" spans="1:15" customFormat="1" x14ac:dyDescent="0.35">
      <c r="A89" s="40">
        <v>45911</v>
      </c>
      <c r="B89" s="41" t="s">
        <v>290</v>
      </c>
      <c r="C89" s="41" t="s">
        <v>291</v>
      </c>
      <c r="D89" s="41" t="s">
        <v>292</v>
      </c>
      <c r="E89" s="42"/>
      <c r="F89" s="42">
        <v>19.309999999999999</v>
      </c>
      <c r="G89" s="43" t="s">
        <v>104</v>
      </c>
      <c r="H89" s="44">
        <v>0.23</v>
      </c>
      <c r="I89" s="42"/>
      <c r="J89" s="42"/>
      <c r="K89" s="41" t="s">
        <v>125</v>
      </c>
      <c r="L89" s="41"/>
      <c r="M89" s="50"/>
      <c r="N89" s="46">
        <f t="shared" si="2"/>
        <v>0</v>
      </c>
      <c r="O89" s="46">
        <f t="shared" si="3"/>
        <v>3.6110000000000002</v>
      </c>
    </row>
    <row r="90" spans="1:15" customFormat="1" x14ac:dyDescent="0.35">
      <c r="A90" s="40">
        <v>45913</v>
      </c>
      <c r="B90" s="41" t="s">
        <v>293</v>
      </c>
      <c r="C90" s="41" t="s">
        <v>294</v>
      </c>
      <c r="D90" s="41" t="s">
        <v>295</v>
      </c>
      <c r="E90" s="42"/>
      <c r="F90" s="42">
        <v>17.989999999999998</v>
      </c>
      <c r="G90" s="43" t="s">
        <v>104</v>
      </c>
      <c r="H90" s="44">
        <v>0.23</v>
      </c>
      <c r="I90" s="42"/>
      <c r="J90" s="42"/>
      <c r="K90" s="41" t="s">
        <v>125</v>
      </c>
      <c r="L90" s="41"/>
      <c r="M90" s="50"/>
      <c r="N90" s="46">
        <f t="shared" si="2"/>
        <v>0</v>
      </c>
      <c r="O90" s="46">
        <f t="shared" si="3"/>
        <v>3.3639999999999999</v>
      </c>
    </row>
    <row r="91" spans="1:15" customFormat="1" x14ac:dyDescent="0.35">
      <c r="A91" s="40">
        <v>45913</v>
      </c>
      <c r="B91" s="41" t="s">
        <v>147</v>
      </c>
      <c r="C91" s="41" t="s">
        <v>281</v>
      </c>
      <c r="D91" s="41" t="s">
        <v>296</v>
      </c>
      <c r="E91" s="42"/>
      <c r="F91" s="42">
        <v>21.99</v>
      </c>
      <c r="G91" s="43" t="s">
        <v>104</v>
      </c>
      <c r="H91" s="44">
        <v>0.23</v>
      </c>
      <c r="I91" s="42"/>
      <c r="J91" s="42"/>
      <c r="K91" s="41" t="s">
        <v>125</v>
      </c>
      <c r="L91" s="41"/>
      <c r="M91" s="50"/>
      <c r="N91" s="46">
        <f t="shared" si="2"/>
        <v>0</v>
      </c>
      <c r="O91" s="46">
        <f t="shared" si="3"/>
        <v>4.1120000000000001</v>
      </c>
    </row>
    <row r="92" spans="1:15" customFormat="1" x14ac:dyDescent="0.35">
      <c r="A92" s="40">
        <v>45914</v>
      </c>
      <c r="B92" s="41" t="s">
        <v>218</v>
      </c>
      <c r="C92" s="41" t="s">
        <v>115</v>
      </c>
      <c r="D92" s="41" t="s">
        <v>297</v>
      </c>
      <c r="E92" s="42"/>
      <c r="F92" s="42">
        <v>27.74</v>
      </c>
      <c r="G92" s="43" t="s">
        <v>104</v>
      </c>
      <c r="H92" s="44">
        <v>0.23</v>
      </c>
      <c r="I92" s="42"/>
      <c r="J92" s="42"/>
      <c r="K92" s="41" t="s">
        <v>125</v>
      </c>
      <c r="L92" s="41"/>
      <c r="M92" s="50"/>
      <c r="N92" s="46">
        <f t="shared" si="2"/>
        <v>0</v>
      </c>
      <c r="O92" s="46">
        <f t="shared" si="3"/>
        <v>5.1870000000000003</v>
      </c>
    </row>
    <row r="93" spans="1:15" customFormat="1" x14ac:dyDescent="0.35">
      <c r="A93" s="56">
        <v>45919</v>
      </c>
      <c r="B93" s="57" t="s">
        <v>129</v>
      </c>
      <c r="C93" s="57" t="s">
        <v>105</v>
      </c>
      <c r="D93" s="57" t="s">
        <v>299</v>
      </c>
      <c r="E93" s="58">
        <v>1594.39</v>
      </c>
      <c r="F93" s="58"/>
      <c r="G93" s="62" t="s">
        <v>104</v>
      </c>
      <c r="H93" s="59">
        <v>0.23</v>
      </c>
      <c r="I93" s="58"/>
      <c r="J93" s="58"/>
      <c r="K93" s="57" t="s">
        <v>123</v>
      </c>
      <c r="L93" s="57"/>
      <c r="M93" s="60"/>
      <c r="N93" s="61">
        <f>IF(G93="SIM",ROUND(E93-(E93/1.23),3),0)</f>
        <v>298.13799999999998</v>
      </c>
      <c r="O93" s="61">
        <f>IF(G93="SIM",ROUND(F93-(F93/(1+H93)),3),0)</f>
        <v>0</v>
      </c>
    </row>
    <row r="94" spans="1:15" customFormat="1" x14ac:dyDescent="0.35">
      <c r="A94" s="40">
        <v>45919</v>
      </c>
      <c r="B94" s="41" t="s">
        <v>116</v>
      </c>
      <c r="C94" s="41" t="s">
        <v>117</v>
      </c>
      <c r="D94" s="41" t="s">
        <v>307</v>
      </c>
      <c r="E94" s="42"/>
      <c r="F94" s="42">
        <v>100</v>
      </c>
      <c r="G94" s="43" t="s">
        <v>157</v>
      </c>
      <c r="H94" s="44"/>
      <c r="I94" s="42"/>
      <c r="J94" s="42"/>
      <c r="K94" s="41" t="s">
        <v>125</v>
      </c>
      <c r="L94" s="41"/>
      <c r="M94" s="45"/>
      <c r="N94" s="61">
        <f t="shared" ref="N94:N125" si="4">IF(G94="SIM",ROUND(E94-(E94/1.23),3),0)</f>
        <v>0</v>
      </c>
      <c r="O94" s="61">
        <f t="shared" ref="O94:O125" si="5">IF(G94="SIM",ROUND(F94-(F94/(1+H94)),3),0)</f>
        <v>0</v>
      </c>
    </row>
    <row r="95" spans="1:15" customFormat="1" x14ac:dyDescent="0.35">
      <c r="A95" s="40">
        <v>45927</v>
      </c>
      <c r="B95" s="41" t="s">
        <v>218</v>
      </c>
      <c r="C95" s="41" t="s">
        <v>115</v>
      </c>
      <c r="D95" s="41" t="s">
        <v>308</v>
      </c>
      <c r="E95" s="42"/>
      <c r="F95" s="42">
        <v>48.45</v>
      </c>
      <c r="G95" s="43" t="s">
        <v>104</v>
      </c>
      <c r="H95" s="44">
        <v>0.06</v>
      </c>
      <c r="I95" s="42"/>
      <c r="J95" s="42"/>
      <c r="K95" s="41" t="s">
        <v>123</v>
      </c>
      <c r="L95" s="41"/>
      <c r="M95" s="45"/>
      <c r="N95" s="61">
        <f t="shared" si="4"/>
        <v>0</v>
      </c>
      <c r="O95" s="61">
        <f t="shared" si="5"/>
        <v>2.742</v>
      </c>
    </row>
    <row r="96" spans="1:15" customFormat="1" x14ac:dyDescent="0.35">
      <c r="A96" s="40">
        <v>45926</v>
      </c>
      <c r="B96" s="41" t="s">
        <v>116</v>
      </c>
      <c r="C96" s="41" t="s">
        <v>117</v>
      </c>
      <c r="D96" s="41" t="s">
        <v>309</v>
      </c>
      <c r="E96" s="42"/>
      <c r="F96" s="42">
        <v>100</v>
      </c>
      <c r="G96" s="43" t="s">
        <v>157</v>
      </c>
      <c r="H96" s="44"/>
      <c r="I96" s="42"/>
      <c r="J96" s="42"/>
      <c r="K96" s="41" t="s">
        <v>125</v>
      </c>
      <c r="L96" s="41"/>
      <c r="M96" s="45"/>
      <c r="N96" s="61">
        <f t="shared" si="4"/>
        <v>0</v>
      </c>
      <c r="O96" s="61">
        <f t="shared" si="5"/>
        <v>0</v>
      </c>
    </row>
    <row r="97" spans="1:15" customFormat="1" x14ac:dyDescent="0.35">
      <c r="A97" s="40">
        <v>45924</v>
      </c>
      <c r="B97" s="41" t="s">
        <v>129</v>
      </c>
      <c r="C97" s="41" t="s">
        <v>252</v>
      </c>
      <c r="D97" s="41" t="s">
        <v>310</v>
      </c>
      <c r="E97" s="42"/>
      <c r="F97" s="42">
        <v>2568.2399999999998</v>
      </c>
      <c r="G97" s="43" t="s">
        <v>104</v>
      </c>
      <c r="H97" s="44">
        <v>0.23</v>
      </c>
      <c r="I97" s="42">
        <v>488.24</v>
      </c>
      <c r="J97" s="42"/>
      <c r="K97" s="41" t="s">
        <v>123</v>
      </c>
      <c r="L97" s="41"/>
      <c r="M97" s="45"/>
      <c r="N97" s="61">
        <f t="shared" si="4"/>
        <v>0</v>
      </c>
      <c r="O97" s="61">
        <f t="shared" si="5"/>
        <v>480.24</v>
      </c>
    </row>
    <row r="98" spans="1:15" customFormat="1" x14ac:dyDescent="0.35">
      <c r="A98" s="40">
        <v>45934</v>
      </c>
      <c r="B98" s="41" t="s">
        <v>312</v>
      </c>
      <c r="C98" s="41" t="s">
        <v>313</v>
      </c>
      <c r="D98" s="41" t="s">
        <v>314</v>
      </c>
      <c r="E98" s="42"/>
      <c r="F98" s="42">
        <v>7.5</v>
      </c>
      <c r="G98" s="43" t="s">
        <v>104</v>
      </c>
      <c r="H98" s="44">
        <v>0.23</v>
      </c>
      <c r="I98" s="42"/>
      <c r="J98" s="42"/>
      <c r="K98" s="41" t="s">
        <v>125</v>
      </c>
      <c r="L98" s="41"/>
      <c r="M98" s="45"/>
      <c r="N98" s="61">
        <f t="shared" si="4"/>
        <v>0</v>
      </c>
      <c r="O98" s="61">
        <f t="shared" si="5"/>
        <v>1.4019999999999999</v>
      </c>
    </row>
    <row r="99" spans="1:15" customFormat="1" x14ac:dyDescent="0.35">
      <c r="A99" s="40">
        <v>45933</v>
      </c>
      <c r="B99" s="41" t="s">
        <v>145</v>
      </c>
      <c r="C99" s="41" t="s">
        <v>128</v>
      </c>
      <c r="D99" s="41" t="s">
        <v>316</v>
      </c>
      <c r="E99" s="42"/>
      <c r="F99" s="42">
        <v>61.1</v>
      </c>
      <c r="G99" s="43" t="s">
        <v>104</v>
      </c>
      <c r="H99" s="44">
        <v>0.23</v>
      </c>
      <c r="I99" s="42"/>
      <c r="J99" s="42"/>
      <c r="K99" s="41" t="s">
        <v>125</v>
      </c>
      <c r="L99" s="41"/>
      <c r="M99" s="45"/>
      <c r="N99" s="61">
        <f t="shared" si="4"/>
        <v>0</v>
      </c>
      <c r="O99" s="61">
        <f t="shared" si="5"/>
        <v>11.425000000000001</v>
      </c>
    </row>
    <row r="100" spans="1:15" customFormat="1" x14ac:dyDescent="0.35">
      <c r="A100" s="40">
        <v>45933</v>
      </c>
      <c r="B100" s="41" t="s">
        <v>116</v>
      </c>
      <c r="C100" s="41" t="s">
        <v>117</v>
      </c>
      <c r="D100" s="41" t="s">
        <v>317</v>
      </c>
      <c r="E100" s="42"/>
      <c r="F100" s="42">
        <v>100</v>
      </c>
      <c r="G100" s="43" t="s">
        <v>157</v>
      </c>
      <c r="H100" s="44"/>
      <c r="I100" s="42"/>
      <c r="J100" s="42"/>
      <c r="K100" s="41" t="s">
        <v>125</v>
      </c>
      <c r="L100" s="41"/>
      <c r="M100" s="45"/>
      <c r="N100" s="61">
        <f t="shared" si="4"/>
        <v>0</v>
      </c>
      <c r="O100" s="61">
        <f t="shared" si="5"/>
        <v>0</v>
      </c>
    </row>
    <row r="101" spans="1:15" customFormat="1" x14ac:dyDescent="0.35">
      <c r="A101" s="40">
        <v>45929</v>
      </c>
      <c r="B101" s="41" t="s">
        <v>129</v>
      </c>
      <c r="C101" s="41" t="s">
        <v>105</v>
      </c>
      <c r="D101" s="41" t="s">
        <v>318</v>
      </c>
      <c r="E101" s="42">
        <v>2568.2449999999999</v>
      </c>
      <c r="F101" s="42"/>
      <c r="G101" s="43" t="s">
        <v>104</v>
      </c>
      <c r="H101" s="44">
        <v>0.23</v>
      </c>
      <c r="I101" s="42"/>
      <c r="J101" s="42"/>
      <c r="K101" s="41" t="s">
        <v>123</v>
      </c>
      <c r="L101" s="41"/>
      <c r="M101" s="45"/>
      <c r="N101" s="61">
        <f t="shared" si="4"/>
        <v>480.24099999999999</v>
      </c>
      <c r="O101" s="61">
        <f t="shared" si="5"/>
        <v>0</v>
      </c>
    </row>
    <row r="102" spans="1:15" customFormat="1" x14ac:dyDescent="0.35">
      <c r="A102" s="40"/>
      <c r="B102" s="41"/>
      <c r="C102" s="41"/>
      <c r="D102" s="41"/>
      <c r="E102" s="42"/>
      <c r="F102" s="42"/>
      <c r="G102" s="43"/>
      <c r="H102" s="44"/>
      <c r="I102" s="42"/>
      <c r="J102" s="42"/>
      <c r="K102" s="41"/>
      <c r="L102" s="41"/>
      <c r="M102" s="45"/>
      <c r="N102" s="61">
        <f t="shared" si="4"/>
        <v>0</v>
      </c>
      <c r="O102" s="61">
        <f t="shared" si="5"/>
        <v>0</v>
      </c>
    </row>
    <row r="103" spans="1:15" customFormat="1" x14ac:dyDescent="0.35">
      <c r="A103" s="40"/>
      <c r="B103" s="41"/>
      <c r="C103" s="41"/>
      <c r="D103" s="41"/>
      <c r="E103" s="42"/>
      <c r="F103" s="42"/>
      <c r="G103" s="43"/>
      <c r="H103" s="44"/>
      <c r="I103" s="42"/>
      <c r="J103" s="42"/>
      <c r="K103" s="41"/>
      <c r="L103" s="41"/>
      <c r="M103" s="45"/>
      <c r="N103" s="61">
        <f t="shared" si="4"/>
        <v>0</v>
      </c>
      <c r="O103" s="61">
        <f t="shared" si="5"/>
        <v>0</v>
      </c>
    </row>
    <row r="104" spans="1:15" customFormat="1" x14ac:dyDescent="0.35">
      <c r="A104" s="40"/>
      <c r="B104" s="41"/>
      <c r="C104" s="41"/>
      <c r="D104" s="41"/>
      <c r="E104" s="42"/>
      <c r="F104" s="42"/>
      <c r="G104" s="43"/>
      <c r="H104" s="44"/>
      <c r="I104" s="42"/>
      <c r="J104" s="42"/>
      <c r="K104" s="41"/>
      <c r="L104" s="41"/>
      <c r="M104" s="45"/>
      <c r="N104" s="61">
        <f t="shared" si="4"/>
        <v>0</v>
      </c>
      <c r="O104" s="61">
        <f t="shared" si="5"/>
        <v>0</v>
      </c>
    </row>
    <row r="105" spans="1:15" customFormat="1" x14ac:dyDescent="0.35">
      <c r="A105" s="40"/>
      <c r="B105" s="41"/>
      <c r="C105" s="41"/>
      <c r="D105" s="41"/>
      <c r="E105" s="42"/>
      <c r="F105" s="42"/>
      <c r="G105" s="43"/>
      <c r="H105" s="44"/>
      <c r="I105" s="42"/>
      <c r="J105" s="42"/>
      <c r="K105" s="41"/>
      <c r="L105" s="41"/>
      <c r="M105" s="45"/>
      <c r="N105" s="61">
        <f t="shared" si="4"/>
        <v>0</v>
      </c>
      <c r="O105" s="61">
        <f t="shared" si="5"/>
        <v>0</v>
      </c>
    </row>
    <row r="106" spans="1:15" customFormat="1" x14ac:dyDescent="0.35">
      <c r="A106" s="40"/>
      <c r="B106" s="41"/>
      <c r="C106" s="41"/>
      <c r="D106" s="41"/>
      <c r="E106" s="42"/>
      <c r="F106" s="42"/>
      <c r="G106" s="43"/>
      <c r="H106" s="44"/>
      <c r="I106" s="42"/>
      <c r="J106" s="42"/>
      <c r="K106" s="41"/>
      <c r="L106" s="41"/>
      <c r="M106" s="45"/>
      <c r="N106" s="61">
        <f t="shared" si="4"/>
        <v>0</v>
      </c>
      <c r="O106" s="61">
        <f t="shared" si="5"/>
        <v>0</v>
      </c>
    </row>
    <row r="107" spans="1:15" customFormat="1" x14ac:dyDescent="0.35">
      <c r="A107" s="40"/>
      <c r="B107" s="41"/>
      <c r="C107" s="41"/>
      <c r="D107" s="41"/>
      <c r="E107" s="42"/>
      <c r="F107" s="42"/>
      <c r="G107" s="43"/>
      <c r="H107" s="44"/>
      <c r="I107" s="42"/>
      <c r="J107" s="42"/>
      <c r="K107" s="41"/>
      <c r="L107" s="41"/>
      <c r="M107" s="45"/>
      <c r="N107" s="61">
        <f t="shared" si="4"/>
        <v>0</v>
      </c>
      <c r="O107" s="61">
        <f t="shared" si="5"/>
        <v>0</v>
      </c>
    </row>
    <row r="108" spans="1:15" customFormat="1" x14ac:dyDescent="0.35">
      <c r="A108" s="40"/>
      <c r="B108" s="41"/>
      <c r="C108" s="41"/>
      <c r="D108" s="41"/>
      <c r="E108" s="42"/>
      <c r="F108" s="42"/>
      <c r="G108" s="43"/>
      <c r="H108" s="44"/>
      <c r="I108" s="42"/>
      <c r="J108" s="42"/>
      <c r="K108" s="41"/>
      <c r="L108" s="41"/>
      <c r="M108" s="45"/>
      <c r="N108" s="61">
        <f t="shared" si="4"/>
        <v>0</v>
      </c>
      <c r="O108" s="61">
        <f t="shared" si="5"/>
        <v>0</v>
      </c>
    </row>
    <row r="109" spans="1:15" customFormat="1" x14ac:dyDescent="0.35">
      <c r="A109" s="40"/>
      <c r="B109" s="41"/>
      <c r="C109" s="41"/>
      <c r="D109" s="41"/>
      <c r="E109" s="42"/>
      <c r="F109" s="42"/>
      <c r="G109" s="43"/>
      <c r="H109" s="44"/>
      <c r="I109" s="42"/>
      <c r="J109" s="42"/>
      <c r="K109" s="41"/>
      <c r="L109" s="41"/>
      <c r="M109" s="45"/>
      <c r="N109" s="61">
        <f t="shared" si="4"/>
        <v>0</v>
      </c>
      <c r="O109" s="61">
        <f t="shared" si="5"/>
        <v>0</v>
      </c>
    </row>
    <row r="110" spans="1:15" customFormat="1" x14ac:dyDescent="0.35">
      <c r="A110" s="40"/>
      <c r="B110" s="41"/>
      <c r="C110" s="41"/>
      <c r="D110" s="41"/>
      <c r="E110" s="42"/>
      <c r="F110" s="42"/>
      <c r="G110" s="43"/>
      <c r="H110" s="44"/>
      <c r="I110" s="42"/>
      <c r="J110" s="42"/>
      <c r="K110" s="41"/>
      <c r="L110" s="41"/>
      <c r="M110" s="45"/>
      <c r="N110" s="61">
        <f t="shared" si="4"/>
        <v>0</v>
      </c>
      <c r="O110" s="61">
        <f t="shared" si="5"/>
        <v>0</v>
      </c>
    </row>
    <row r="111" spans="1:15" customFormat="1" x14ac:dyDescent="0.35">
      <c r="A111" s="40"/>
      <c r="B111" s="41"/>
      <c r="C111" s="41"/>
      <c r="D111" s="41"/>
      <c r="E111" s="42"/>
      <c r="F111" s="42"/>
      <c r="G111" s="43"/>
      <c r="H111" s="44"/>
      <c r="I111" s="42"/>
      <c r="J111" s="42"/>
      <c r="K111" s="41"/>
      <c r="L111" s="41"/>
      <c r="M111" s="45"/>
      <c r="N111" s="61">
        <f t="shared" si="4"/>
        <v>0</v>
      </c>
      <c r="O111" s="61">
        <f t="shared" si="5"/>
        <v>0</v>
      </c>
    </row>
    <row r="112" spans="1:15" customFormat="1" x14ac:dyDescent="0.35">
      <c r="A112" s="40"/>
      <c r="B112" s="41"/>
      <c r="C112" s="41"/>
      <c r="D112" s="41"/>
      <c r="E112" s="42"/>
      <c r="F112" s="42"/>
      <c r="G112" s="43"/>
      <c r="H112" s="44"/>
      <c r="I112" s="42"/>
      <c r="J112" s="42"/>
      <c r="K112" s="41"/>
      <c r="L112" s="41"/>
      <c r="M112" s="45"/>
      <c r="N112" s="61">
        <f t="shared" si="4"/>
        <v>0</v>
      </c>
      <c r="O112" s="61">
        <f t="shared" si="5"/>
        <v>0</v>
      </c>
    </row>
    <row r="113" spans="1:15" customFormat="1" x14ac:dyDescent="0.35">
      <c r="A113" s="40"/>
      <c r="B113" s="41"/>
      <c r="C113" s="41"/>
      <c r="D113" s="41"/>
      <c r="E113" s="42"/>
      <c r="F113" s="42"/>
      <c r="G113" s="43"/>
      <c r="H113" s="44"/>
      <c r="I113" s="42"/>
      <c r="J113" s="42"/>
      <c r="K113" s="41"/>
      <c r="L113" s="41"/>
      <c r="M113" s="45"/>
      <c r="N113" s="61">
        <f t="shared" si="4"/>
        <v>0</v>
      </c>
      <c r="O113" s="61">
        <f t="shared" si="5"/>
        <v>0</v>
      </c>
    </row>
    <row r="114" spans="1:15" customFormat="1" x14ac:dyDescent="0.35">
      <c r="A114" s="40"/>
      <c r="B114" s="41"/>
      <c r="C114" s="41"/>
      <c r="D114" s="41"/>
      <c r="E114" s="42"/>
      <c r="F114" s="42"/>
      <c r="G114" s="43"/>
      <c r="H114" s="44"/>
      <c r="I114" s="42"/>
      <c r="J114" s="42"/>
      <c r="K114" s="41"/>
      <c r="L114" s="41"/>
      <c r="M114" s="45"/>
      <c r="N114" s="61">
        <f t="shared" si="4"/>
        <v>0</v>
      </c>
      <c r="O114" s="61">
        <f t="shared" si="5"/>
        <v>0</v>
      </c>
    </row>
    <row r="115" spans="1:15" customFormat="1" x14ac:dyDescent="0.35">
      <c r="A115" s="40"/>
      <c r="B115" s="41"/>
      <c r="C115" s="41"/>
      <c r="D115" s="41"/>
      <c r="E115" s="42"/>
      <c r="F115" s="42"/>
      <c r="G115" s="43"/>
      <c r="H115" s="44"/>
      <c r="I115" s="42"/>
      <c r="J115" s="42"/>
      <c r="K115" s="41"/>
      <c r="L115" s="41"/>
      <c r="M115" s="45"/>
      <c r="N115" s="61">
        <f t="shared" si="4"/>
        <v>0</v>
      </c>
      <c r="O115" s="61">
        <f t="shared" si="5"/>
        <v>0</v>
      </c>
    </row>
    <row r="116" spans="1:15" customFormat="1" x14ac:dyDescent="0.35">
      <c r="A116" s="40"/>
      <c r="B116" s="41"/>
      <c r="C116" s="41"/>
      <c r="D116" s="41"/>
      <c r="E116" s="42"/>
      <c r="F116" s="42"/>
      <c r="G116" s="43"/>
      <c r="H116" s="44"/>
      <c r="I116" s="42"/>
      <c r="J116" s="42"/>
      <c r="K116" s="41"/>
      <c r="L116" s="41"/>
      <c r="M116" s="45"/>
      <c r="N116" s="61">
        <f t="shared" si="4"/>
        <v>0</v>
      </c>
      <c r="O116" s="61">
        <f t="shared" si="5"/>
        <v>0</v>
      </c>
    </row>
    <row r="117" spans="1:15" customFormat="1" x14ac:dyDescent="0.35">
      <c r="A117" s="40"/>
      <c r="B117" s="41"/>
      <c r="C117" s="41"/>
      <c r="D117" s="41"/>
      <c r="E117" s="42"/>
      <c r="F117" s="42"/>
      <c r="G117" s="43"/>
      <c r="H117" s="44"/>
      <c r="I117" s="42"/>
      <c r="J117" s="42"/>
      <c r="K117" s="41"/>
      <c r="L117" s="41"/>
      <c r="M117" s="45"/>
      <c r="N117" s="61">
        <f t="shared" si="4"/>
        <v>0</v>
      </c>
      <c r="O117" s="61">
        <f t="shared" si="5"/>
        <v>0</v>
      </c>
    </row>
    <row r="118" spans="1:15" customFormat="1" x14ac:dyDescent="0.35">
      <c r="A118" s="40"/>
      <c r="B118" s="41"/>
      <c r="C118" s="41"/>
      <c r="D118" s="41"/>
      <c r="E118" s="42"/>
      <c r="F118" s="42"/>
      <c r="G118" s="43"/>
      <c r="H118" s="44"/>
      <c r="I118" s="42"/>
      <c r="J118" s="42"/>
      <c r="K118" s="41"/>
      <c r="L118" s="41"/>
      <c r="M118" s="45"/>
      <c r="N118" s="61">
        <f t="shared" si="4"/>
        <v>0</v>
      </c>
      <c r="O118" s="61">
        <f t="shared" si="5"/>
        <v>0</v>
      </c>
    </row>
    <row r="119" spans="1:15" customFormat="1" x14ac:dyDescent="0.35">
      <c r="A119" s="40"/>
      <c r="B119" s="41"/>
      <c r="C119" s="41"/>
      <c r="D119" s="41"/>
      <c r="E119" s="42"/>
      <c r="F119" s="42"/>
      <c r="G119" s="43"/>
      <c r="H119" s="44"/>
      <c r="I119" s="42"/>
      <c r="J119" s="42"/>
      <c r="K119" s="41"/>
      <c r="L119" s="41"/>
      <c r="M119" s="45"/>
      <c r="N119" s="61">
        <f t="shared" si="4"/>
        <v>0</v>
      </c>
      <c r="O119" s="61">
        <f t="shared" si="5"/>
        <v>0</v>
      </c>
    </row>
    <row r="120" spans="1:15" customFormat="1" x14ac:dyDescent="0.35">
      <c r="A120" s="40"/>
      <c r="B120" s="41"/>
      <c r="C120" s="41"/>
      <c r="D120" s="41"/>
      <c r="E120" s="42"/>
      <c r="F120" s="42"/>
      <c r="G120" s="43"/>
      <c r="H120" s="44"/>
      <c r="I120" s="42"/>
      <c r="J120" s="42"/>
      <c r="K120" s="41"/>
      <c r="L120" s="41"/>
      <c r="M120" s="45"/>
      <c r="N120" s="61">
        <f t="shared" si="4"/>
        <v>0</v>
      </c>
      <c r="O120" s="61">
        <f t="shared" si="5"/>
        <v>0</v>
      </c>
    </row>
    <row r="121" spans="1:15" customFormat="1" x14ac:dyDescent="0.35">
      <c r="A121" s="40"/>
      <c r="B121" s="41"/>
      <c r="C121" s="41"/>
      <c r="D121" s="41"/>
      <c r="E121" s="42"/>
      <c r="F121" s="42"/>
      <c r="G121" s="43"/>
      <c r="H121" s="44"/>
      <c r="I121" s="42"/>
      <c r="J121" s="42"/>
      <c r="K121" s="41"/>
      <c r="L121" s="41"/>
      <c r="M121" s="45"/>
      <c r="N121" s="61">
        <f t="shared" si="4"/>
        <v>0</v>
      </c>
      <c r="O121" s="61">
        <f t="shared" si="5"/>
        <v>0</v>
      </c>
    </row>
    <row r="122" spans="1:15" customFormat="1" x14ac:dyDescent="0.35">
      <c r="A122" s="40"/>
      <c r="B122" s="41"/>
      <c r="C122" s="41"/>
      <c r="D122" s="41"/>
      <c r="E122" s="42"/>
      <c r="F122" s="42"/>
      <c r="G122" s="43"/>
      <c r="H122" s="44"/>
      <c r="I122" s="42"/>
      <c r="J122" s="42"/>
      <c r="K122" s="41"/>
      <c r="L122" s="41"/>
      <c r="M122" s="45"/>
      <c r="N122" s="61">
        <f t="shared" si="4"/>
        <v>0</v>
      </c>
      <c r="O122" s="61">
        <f t="shared" si="5"/>
        <v>0</v>
      </c>
    </row>
    <row r="123" spans="1:15" customFormat="1" x14ac:dyDescent="0.35">
      <c r="A123" s="40"/>
      <c r="B123" s="41"/>
      <c r="C123" s="41"/>
      <c r="D123" s="41"/>
      <c r="E123" s="42"/>
      <c r="F123" s="42"/>
      <c r="G123" s="43"/>
      <c r="H123" s="44"/>
      <c r="I123" s="42"/>
      <c r="J123" s="42"/>
      <c r="K123" s="41"/>
      <c r="L123" s="41"/>
      <c r="M123" s="45"/>
      <c r="N123" s="61">
        <f t="shared" si="4"/>
        <v>0</v>
      </c>
      <c r="O123" s="61">
        <f t="shared" si="5"/>
        <v>0</v>
      </c>
    </row>
    <row r="124" spans="1:15" customFormat="1" x14ac:dyDescent="0.35">
      <c r="A124" s="40"/>
      <c r="B124" s="41"/>
      <c r="C124" s="41"/>
      <c r="D124" s="41"/>
      <c r="E124" s="42"/>
      <c r="F124" s="42"/>
      <c r="G124" s="43"/>
      <c r="H124" s="44"/>
      <c r="I124" s="42"/>
      <c r="J124" s="42"/>
      <c r="K124" s="41"/>
      <c r="L124" s="41"/>
      <c r="M124" s="45"/>
      <c r="N124" s="61">
        <f t="shared" si="4"/>
        <v>0</v>
      </c>
      <c r="O124" s="61">
        <f t="shared" si="5"/>
        <v>0</v>
      </c>
    </row>
    <row r="125" spans="1:15" customFormat="1" x14ac:dyDescent="0.35">
      <c r="A125" s="40"/>
      <c r="B125" s="41"/>
      <c r="C125" s="41"/>
      <c r="D125" s="41"/>
      <c r="E125" s="42"/>
      <c r="F125" s="42"/>
      <c r="G125" s="43"/>
      <c r="H125" s="44"/>
      <c r="I125" s="42"/>
      <c r="J125" s="42"/>
      <c r="K125" s="41"/>
      <c r="L125" s="41"/>
      <c r="M125" s="45"/>
      <c r="N125" s="61">
        <f t="shared" si="4"/>
        <v>0</v>
      </c>
      <c r="O125" s="61">
        <f t="shared" si="5"/>
        <v>0</v>
      </c>
    </row>
    <row r="126" spans="1:15" customFormat="1" x14ac:dyDescent="0.35">
      <c r="A126" s="40"/>
      <c r="B126" s="41"/>
      <c r="C126" s="41"/>
      <c r="D126" s="41"/>
      <c r="E126" s="42"/>
      <c r="F126" s="42"/>
      <c r="G126" s="43"/>
      <c r="H126" s="44"/>
      <c r="I126" s="42"/>
      <c r="J126" s="42"/>
      <c r="K126" s="41"/>
      <c r="L126" s="41"/>
      <c r="M126" s="45"/>
      <c r="N126" s="61">
        <f t="shared" ref="N126:N157" si="6">IF(G126="SIM",ROUND(E126-(E126/1.23),3),0)</f>
        <v>0</v>
      </c>
      <c r="O126" s="61">
        <f t="shared" ref="O126:O157" si="7">IF(G126="SIM",ROUND(F126-(F126/(1+H126)),3),0)</f>
        <v>0</v>
      </c>
    </row>
    <row r="127" spans="1:15" customFormat="1" x14ac:dyDescent="0.35">
      <c r="A127" s="40"/>
      <c r="B127" s="41"/>
      <c r="C127" s="41"/>
      <c r="D127" s="41"/>
      <c r="E127" s="42"/>
      <c r="F127" s="42"/>
      <c r="G127" s="43"/>
      <c r="H127" s="44"/>
      <c r="I127" s="42"/>
      <c r="J127" s="42"/>
      <c r="K127" s="41"/>
      <c r="L127" s="41"/>
      <c r="M127" s="45"/>
      <c r="N127" s="61">
        <f t="shared" si="6"/>
        <v>0</v>
      </c>
      <c r="O127" s="61">
        <f t="shared" si="7"/>
        <v>0</v>
      </c>
    </row>
    <row r="128" spans="1:15" customFormat="1" x14ac:dyDescent="0.35">
      <c r="A128" s="40"/>
      <c r="B128" s="41"/>
      <c r="C128" s="41"/>
      <c r="D128" s="41"/>
      <c r="E128" s="42"/>
      <c r="F128" s="42"/>
      <c r="G128" s="43"/>
      <c r="H128" s="44"/>
      <c r="I128" s="42"/>
      <c r="J128" s="42"/>
      <c r="K128" s="41"/>
      <c r="L128" s="41"/>
      <c r="M128" s="45"/>
      <c r="N128" s="61">
        <f t="shared" si="6"/>
        <v>0</v>
      </c>
      <c r="O128" s="61">
        <f t="shared" si="7"/>
        <v>0</v>
      </c>
    </row>
    <row r="129" spans="1:15" customFormat="1" x14ac:dyDescent="0.35">
      <c r="A129" s="40"/>
      <c r="B129" s="41"/>
      <c r="C129" s="41"/>
      <c r="D129" s="41"/>
      <c r="E129" s="42"/>
      <c r="F129" s="42"/>
      <c r="G129" s="43"/>
      <c r="H129" s="44"/>
      <c r="I129" s="42"/>
      <c r="J129" s="42"/>
      <c r="K129" s="41"/>
      <c r="L129" s="41"/>
      <c r="M129" s="45"/>
      <c r="N129" s="61">
        <f t="shared" si="6"/>
        <v>0</v>
      </c>
      <c r="O129" s="61">
        <f t="shared" si="7"/>
        <v>0</v>
      </c>
    </row>
    <row r="130" spans="1:15" customFormat="1" x14ac:dyDescent="0.35">
      <c r="A130" s="40"/>
      <c r="B130" s="41"/>
      <c r="C130" s="41"/>
      <c r="D130" s="41"/>
      <c r="E130" s="42"/>
      <c r="F130" s="42"/>
      <c r="G130" s="43"/>
      <c r="H130" s="44"/>
      <c r="I130" s="42"/>
      <c r="J130" s="42"/>
      <c r="K130" s="41"/>
      <c r="L130" s="41"/>
      <c r="M130" s="45"/>
      <c r="N130" s="61">
        <f t="shared" si="6"/>
        <v>0</v>
      </c>
      <c r="O130" s="61">
        <f t="shared" si="7"/>
        <v>0</v>
      </c>
    </row>
    <row r="131" spans="1:15" customFormat="1" x14ac:dyDescent="0.35">
      <c r="A131" s="40"/>
      <c r="B131" s="41"/>
      <c r="C131" s="41"/>
      <c r="D131" s="41"/>
      <c r="E131" s="42"/>
      <c r="F131" s="42"/>
      <c r="G131" s="43"/>
      <c r="H131" s="44"/>
      <c r="I131" s="42"/>
      <c r="J131" s="42"/>
      <c r="K131" s="41"/>
      <c r="L131" s="41"/>
      <c r="M131" s="45"/>
      <c r="N131" s="61">
        <f t="shared" si="6"/>
        <v>0</v>
      </c>
      <c r="O131" s="61">
        <f t="shared" si="7"/>
        <v>0</v>
      </c>
    </row>
    <row r="132" spans="1:15" customFormat="1" x14ac:dyDescent="0.35">
      <c r="A132" s="40"/>
      <c r="B132" s="41"/>
      <c r="C132" s="41"/>
      <c r="D132" s="41"/>
      <c r="E132" s="42"/>
      <c r="F132" s="42"/>
      <c r="G132" s="43"/>
      <c r="H132" s="44"/>
      <c r="I132" s="42"/>
      <c r="J132" s="42"/>
      <c r="K132" s="41"/>
      <c r="L132" s="41"/>
      <c r="M132" s="45"/>
      <c r="N132" s="61">
        <f t="shared" si="6"/>
        <v>0</v>
      </c>
      <c r="O132" s="61">
        <f t="shared" si="7"/>
        <v>0</v>
      </c>
    </row>
    <row r="133" spans="1:15" customFormat="1" x14ac:dyDescent="0.35">
      <c r="A133" s="40"/>
      <c r="B133" s="41"/>
      <c r="C133" s="41"/>
      <c r="D133" s="41"/>
      <c r="E133" s="42"/>
      <c r="F133" s="42"/>
      <c r="G133" s="43"/>
      <c r="H133" s="44"/>
      <c r="I133" s="42"/>
      <c r="J133" s="42"/>
      <c r="K133" s="41"/>
      <c r="L133" s="41"/>
      <c r="M133" s="45"/>
      <c r="N133" s="61">
        <f t="shared" si="6"/>
        <v>0</v>
      </c>
      <c r="O133" s="61">
        <f t="shared" si="7"/>
        <v>0</v>
      </c>
    </row>
    <row r="134" spans="1:15" customFormat="1" x14ac:dyDescent="0.35">
      <c r="A134" s="40"/>
      <c r="B134" s="41"/>
      <c r="C134" s="41"/>
      <c r="D134" s="41"/>
      <c r="E134" s="42"/>
      <c r="F134" s="42"/>
      <c r="G134" s="43"/>
      <c r="H134" s="44"/>
      <c r="I134" s="42"/>
      <c r="J134" s="42"/>
      <c r="K134" s="41"/>
      <c r="L134" s="41"/>
      <c r="M134" s="45"/>
      <c r="N134" s="61">
        <f t="shared" si="6"/>
        <v>0</v>
      </c>
      <c r="O134" s="61">
        <f t="shared" si="7"/>
        <v>0</v>
      </c>
    </row>
    <row r="135" spans="1:15" customFormat="1" x14ac:dyDescent="0.35">
      <c r="A135" s="40"/>
      <c r="B135" s="41"/>
      <c r="C135" s="41"/>
      <c r="D135" s="41"/>
      <c r="E135" s="42"/>
      <c r="F135" s="42"/>
      <c r="G135" s="43"/>
      <c r="H135" s="44"/>
      <c r="I135" s="42"/>
      <c r="J135" s="42"/>
      <c r="K135" s="41"/>
      <c r="L135" s="41"/>
      <c r="M135" s="45"/>
      <c r="N135" s="61">
        <f t="shared" si="6"/>
        <v>0</v>
      </c>
      <c r="O135" s="61">
        <f t="shared" si="7"/>
        <v>0</v>
      </c>
    </row>
    <row r="136" spans="1:15" customFormat="1" x14ac:dyDescent="0.35">
      <c r="A136" s="40"/>
      <c r="B136" s="41"/>
      <c r="C136" s="41"/>
      <c r="D136" s="41"/>
      <c r="E136" s="42"/>
      <c r="F136" s="42"/>
      <c r="G136" s="43"/>
      <c r="H136" s="44"/>
      <c r="I136" s="42"/>
      <c r="J136" s="42"/>
      <c r="K136" s="41"/>
      <c r="L136" s="41"/>
      <c r="M136" s="45"/>
      <c r="N136" s="61">
        <f t="shared" si="6"/>
        <v>0</v>
      </c>
      <c r="O136" s="61">
        <f t="shared" si="7"/>
        <v>0</v>
      </c>
    </row>
    <row r="137" spans="1:15" customFormat="1" x14ac:dyDescent="0.35">
      <c r="A137" s="40"/>
      <c r="B137" s="41"/>
      <c r="C137" s="41"/>
      <c r="D137" s="41"/>
      <c r="E137" s="42"/>
      <c r="F137" s="42"/>
      <c r="G137" s="43"/>
      <c r="H137" s="44"/>
      <c r="I137" s="42"/>
      <c r="J137" s="42"/>
      <c r="K137" s="41"/>
      <c r="L137" s="41"/>
      <c r="M137" s="45"/>
      <c r="N137" s="61">
        <f t="shared" si="6"/>
        <v>0</v>
      </c>
      <c r="O137" s="61">
        <f t="shared" si="7"/>
        <v>0</v>
      </c>
    </row>
    <row r="138" spans="1:15" customFormat="1" x14ac:dyDescent="0.35">
      <c r="A138" s="40"/>
      <c r="B138" s="41"/>
      <c r="C138" s="41"/>
      <c r="D138" s="41"/>
      <c r="E138" s="42"/>
      <c r="F138" s="42"/>
      <c r="G138" s="43"/>
      <c r="H138" s="44"/>
      <c r="I138" s="42"/>
      <c r="J138" s="42"/>
      <c r="K138" s="41"/>
      <c r="L138" s="41"/>
      <c r="M138" s="45"/>
      <c r="N138" s="61">
        <f t="shared" si="6"/>
        <v>0</v>
      </c>
      <c r="O138" s="61">
        <f t="shared" si="7"/>
        <v>0</v>
      </c>
    </row>
    <row r="139" spans="1:15" customFormat="1" x14ac:dyDescent="0.35">
      <c r="A139" s="40"/>
      <c r="B139" s="41"/>
      <c r="C139" s="41"/>
      <c r="D139" s="41"/>
      <c r="E139" s="42"/>
      <c r="F139" s="42"/>
      <c r="G139" s="43"/>
      <c r="H139" s="44"/>
      <c r="I139" s="42"/>
      <c r="J139" s="42"/>
      <c r="K139" s="41"/>
      <c r="L139" s="41"/>
      <c r="M139" s="45"/>
      <c r="N139" s="61">
        <f t="shared" si="6"/>
        <v>0</v>
      </c>
      <c r="O139" s="61">
        <f t="shared" si="7"/>
        <v>0</v>
      </c>
    </row>
    <row r="140" spans="1:15" customFormat="1" x14ac:dyDescent="0.35">
      <c r="A140" s="40"/>
      <c r="B140" s="41"/>
      <c r="C140" s="41"/>
      <c r="D140" s="41"/>
      <c r="E140" s="42"/>
      <c r="F140" s="42"/>
      <c r="G140" s="43"/>
      <c r="H140" s="44"/>
      <c r="I140" s="42"/>
      <c r="J140" s="42"/>
      <c r="K140" s="41"/>
      <c r="L140" s="41"/>
      <c r="M140" s="45"/>
      <c r="N140" s="61">
        <f t="shared" si="6"/>
        <v>0</v>
      </c>
      <c r="O140" s="61">
        <f t="shared" si="7"/>
        <v>0</v>
      </c>
    </row>
    <row r="141" spans="1:15" customFormat="1" x14ac:dyDescent="0.35">
      <c r="A141" s="40"/>
      <c r="B141" s="41"/>
      <c r="C141" s="41"/>
      <c r="D141" s="41"/>
      <c r="E141" s="42"/>
      <c r="F141" s="42"/>
      <c r="G141" s="43"/>
      <c r="H141" s="44"/>
      <c r="I141" s="42"/>
      <c r="J141" s="42"/>
      <c r="K141" s="41"/>
      <c r="L141" s="41"/>
      <c r="M141" s="45"/>
      <c r="N141" s="61">
        <f t="shared" si="6"/>
        <v>0</v>
      </c>
      <c r="O141" s="61">
        <f t="shared" si="7"/>
        <v>0</v>
      </c>
    </row>
    <row r="142" spans="1:15" customFormat="1" x14ac:dyDescent="0.35">
      <c r="A142" s="40"/>
      <c r="B142" s="41"/>
      <c r="C142" s="41"/>
      <c r="D142" s="41"/>
      <c r="E142" s="42"/>
      <c r="F142" s="42"/>
      <c r="G142" s="43"/>
      <c r="H142" s="44"/>
      <c r="I142" s="42"/>
      <c r="J142" s="42"/>
      <c r="K142" s="41"/>
      <c r="L142" s="41"/>
      <c r="M142" s="45"/>
      <c r="N142" s="61">
        <f t="shared" si="6"/>
        <v>0</v>
      </c>
      <c r="O142" s="61">
        <f t="shared" si="7"/>
        <v>0</v>
      </c>
    </row>
    <row r="143" spans="1:15" customFormat="1" x14ac:dyDescent="0.35">
      <c r="A143" s="40"/>
      <c r="B143" s="41"/>
      <c r="C143" s="41"/>
      <c r="D143" s="41"/>
      <c r="E143" s="42"/>
      <c r="F143" s="42"/>
      <c r="G143" s="43"/>
      <c r="H143" s="44"/>
      <c r="I143" s="42"/>
      <c r="J143" s="42"/>
      <c r="K143" s="41"/>
      <c r="L143" s="41"/>
      <c r="M143" s="45"/>
      <c r="N143" s="61">
        <f t="shared" si="6"/>
        <v>0</v>
      </c>
      <c r="O143" s="61">
        <f t="shared" si="7"/>
        <v>0</v>
      </c>
    </row>
    <row r="144" spans="1:15" customFormat="1" x14ac:dyDescent="0.35">
      <c r="A144" s="40"/>
      <c r="B144" s="41"/>
      <c r="C144" s="41"/>
      <c r="D144" s="41"/>
      <c r="E144" s="42"/>
      <c r="F144" s="42"/>
      <c r="G144" s="43"/>
      <c r="H144" s="44"/>
      <c r="I144" s="42"/>
      <c r="J144" s="42"/>
      <c r="K144" s="41"/>
      <c r="L144" s="41"/>
      <c r="M144" s="45"/>
      <c r="N144" s="61">
        <f t="shared" si="6"/>
        <v>0</v>
      </c>
      <c r="O144" s="61">
        <f t="shared" si="7"/>
        <v>0</v>
      </c>
    </row>
    <row r="145" spans="1:15" customFormat="1" x14ac:dyDescent="0.35">
      <c r="A145" s="40"/>
      <c r="B145" s="41"/>
      <c r="C145" s="41"/>
      <c r="D145" s="41"/>
      <c r="E145" s="42"/>
      <c r="F145" s="42"/>
      <c r="G145" s="43"/>
      <c r="H145" s="44"/>
      <c r="I145" s="42"/>
      <c r="J145" s="42"/>
      <c r="K145" s="41"/>
      <c r="L145" s="41"/>
      <c r="M145" s="45"/>
      <c r="N145" s="61">
        <f t="shared" si="6"/>
        <v>0</v>
      </c>
      <c r="O145" s="61">
        <f t="shared" si="7"/>
        <v>0</v>
      </c>
    </row>
    <row r="146" spans="1:15" customFormat="1" x14ac:dyDescent="0.35">
      <c r="A146" s="40"/>
      <c r="B146" s="41"/>
      <c r="C146" s="41"/>
      <c r="D146" s="41"/>
      <c r="E146" s="42"/>
      <c r="F146" s="42"/>
      <c r="G146" s="43"/>
      <c r="H146" s="44"/>
      <c r="I146" s="42"/>
      <c r="J146" s="42"/>
      <c r="K146" s="41"/>
      <c r="L146" s="41"/>
      <c r="M146" s="45"/>
      <c r="N146" s="61">
        <f t="shared" si="6"/>
        <v>0</v>
      </c>
      <c r="O146" s="61">
        <f t="shared" si="7"/>
        <v>0</v>
      </c>
    </row>
    <row r="147" spans="1:15" customFormat="1" x14ac:dyDescent="0.35">
      <c r="A147" s="40"/>
      <c r="B147" s="41"/>
      <c r="C147" s="41"/>
      <c r="D147" s="41"/>
      <c r="E147" s="42"/>
      <c r="F147" s="42"/>
      <c r="G147" s="43"/>
      <c r="H147" s="44"/>
      <c r="I147" s="42"/>
      <c r="J147" s="42"/>
      <c r="K147" s="41"/>
      <c r="L147" s="41"/>
      <c r="M147" s="45"/>
      <c r="N147" s="61">
        <f t="shared" si="6"/>
        <v>0</v>
      </c>
      <c r="O147" s="61">
        <f t="shared" si="7"/>
        <v>0</v>
      </c>
    </row>
    <row r="148" spans="1:15" customFormat="1" x14ac:dyDescent="0.35">
      <c r="A148" s="40"/>
      <c r="B148" s="41"/>
      <c r="C148" s="41"/>
      <c r="D148" s="41"/>
      <c r="E148" s="42"/>
      <c r="F148" s="42"/>
      <c r="G148" s="43"/>
      <c r="H148" s="44"/>
      <c r="I148" s="42"/>
      <c r="J148" s="42"/>
      <c r="K148" s="41"/>
      <c r="L148" s="41"/>
      <c r="M148" s="45"/>
      <c r="N148" s="61">
        <f t="shared" si="6"/>
        <v>0</v>
      </c>
      <c r="O148" s="61">
        <f t="shared" si="7"/>
        <v>0</v>
      </c>
    </row>
    <row r="149" spans="1:15" customFormat="1" x14ac:dyDescent="0.35">
      <c r="A149" s="40"/>
      <c r="B149" s="41"/>
      <c r="C149" s="41"/>
      <c r="D149" s="41"/>
      <c r="E149" s="42"/>
      <c r="F149" s="42"/>
      <c r="G149" s="43"/>
      <c r="H149" s="44"/>
      <c r="I149" s="42"/>
      <c r="J149" s="42"/>
      <c r="K149" s="41"/>
      <c r="L149" s="41"/>
      <c r="M149" s="45"/>
      <c r="N149" s="61">
        <f t="shared" si="6"/>
        <v>0</v>
      </c>
      <c r="O149" s="61">
        <f t="shared" si="7"/>
        <v>0</v>
      </c>
    </row>
    <row r="150" spans="1:15" customFormat="1" x14ac:dyDescent="0.35">
      <c r="A150" s="40"/>
      <c r="B150" s="41"/>
      <c r="C150" s="41"/>
      <c r="D150" s="41"/>
      <c r="E150" s="42"/>
      <c r="F150" s="42"/>
      <c r="G150" s="43"/>
      <c r="H150" s="44"/>
      <c r="I150" s="42"/>
      <c r="J150" s="42"/>
      <c r="K150" s="41"/>
      <c r="L150" s="41"/>
      <c r="M150" s="45"/>
      <c r="N150" s="61">
        <f t="shared" si="6"/>
        <v>0</v>
      </c>
      <c r="O150" s="61">
        <f t="shared" si="7"/>
        <v>0</v>
      </c>
    </row>
    <row r="151" spans="1:15" customFormat="1" x14ac:dyDescent="0.35">
      <c r="A151" s="40"/>
      <c r="B151" s="41"/>
      <c r="C151" s="41"/>
      <c r="D151" s="41"/>
      <c r="E151" s="42"/>
      <c r="F151" s="42"/>
      <c r="G151" s="43"/>
      <c r="H151" s="44"/>
      <c r="I151" s="42"/>
      <c r="J151" s="42"/>
      <c r="K151" s="41"/>
      <c r="L151" s="41"/>
      <c r="M151" s="45"/>
      <c r="N151" s="61">
        <f t="shared" si="6"/>
        <v>0</v>
      </c>
      <c r="O151" s="61">
        <f t="shared" si="7"/>
        <v>0</v>
      </c>
    </row>
    <row r="152" spans="1:15" customFormat="1" x14ac:dyDescent="0.35">
      <c r="A152" s="40"/>
      <c r="B152" s="41"/>
      <c r="C152" s="41"/>
      <c r="D152" s="41"/>
      <c r="E152" s="42"/>
      <c r="F152" s="42"/>
      <c r="G152" s="43"/>
      <c r="H152" s="44"/>
      <c r="I152" s="42"/>
      <c r="J152" s="42"/>
      <c r="K152" s="41"/>
      <c r="L152" s="41"/>
      <c r="M152" s="45"/>
      <c r="N152" s="61">
        <f t="shared" si="6"/>
        <v>0</v>
      </c>
      <c r="O152" s="61">
        <f t="shared" si="7"/>
        <v>0</v>
      </c>
    </row>
    <row r="153" spans="1:15" customFormat="1" x14ac:dyDescent="0.35">
      <c r="A153" s="40"/>
      <c r="B153" s="41"/>
      <c r="C153" s="41"/>
      <c r="D153" s="41"/>
      <c r="E153" s="42"/>
      <c r="F153" s="42"/>
      <c r="G153" s="43"/>
      <c r="H153" s="44"/>
      <c r="I153" s="42"/>
      <c r="J153" s="42"/>
      <c r="K153" s="41"/>
      <c r="L153" s="41"/>
      <c r="M153" s="45"/>
      <c r="N153" s="61">
        <f t="shared" si="6"/>
        <v>0</v>
      </c>
      <c r="O153" s="61">
        <f t="shared" si="7"/>
        <v>0</v>
      </c>
    </row>
    <row r="154" spans="1:15" customFormat="1" x14ac:dyDescent="0.35">
      <c r="A154" s="40"/>
      <c r="B154" s="41"/>
      <c r="C154" s="41"/>
      <c r="D154" s="41"/>
      <c r="E154" s="42"/>
      <c r="F154" s="42"/>
      <c r="G154" s="43"/>
      <c r="H154" s="44"/>
      <c r="I154" s="42"/>
      <c r="J154" s="42"/>
      <c r="K154" s="41"/>
      <c r="L154" s="41"/>
      <c r="M154" s="45"/>
      <c r="N154" s="61">
        <f t="shared" si="6"/>
        <v>0</v>
      </c>
      <c r="O154" s="61">
        <f t="shared" si="7"/>
        <v>0</v>
      </c>
    </row>
    <row r="155" spans="1:15" customFormat="1" x14ac:dyDescent="0.35">
      <c r="A155" s="40"/>
      <c r="B155" s="41"/>
      <c r="C155" s="41"/>
      <c r="D155" s="41"/>
      <c r="E155" s="42"/>
      <c r="F155" s="42"/>
      <c r="G155" s="43"/>
      <c r="H155" s="44"/>
      <c r="I155" s="42"/>
      <c r="J155" s="42"/>
      <c r="K155" s="41"/>
      <c r="L155" s="41"/>
      <c r="M155" s="45"/>
      <c r="N155" s="61">
        <f t="shared" si="6"/>
        <v>0</v>
      </c>
      <c r="O155" s="61">
        <f t="shared" si="7"/>
        <v>0</v>
      </c>
    </row>
    <row r="156" spans="1:15" customFormat="1" x14ac:dyDescent="0.35">
      <c r="A156" s="40"/>
      <c r="B156" s="41"/>
      <c r="C156" s="41"/>
      <c r="D156" s="41"/>
      <c r="E156" s="42"/>
      <c r="F156" s="42"/>
      <c r="G156" s="43"/>
      <c r="H156" s="44"/>
      <c r="I156" s="42"/>
      <c r="J156" s="42"/>
      <c r="K156" s="41"/>
      <c r="L156" s="41"/>
      <c r="M156" s="45"/>
      <c r="N156" s="61">
        <f t="shared" si="6"/>
        <v>0</v>
      </c>
      <c r="O156" s="61">
        <f t="shared" si="7"/>
        <v>0</v>
      </c>
    </row>
    <row r="157" spans="1:15" customFormat="1" x14ac:dyDescent="0.35">
      <c r="A157" s="40"/>
      <c r="B157" s="41"/>
      <c r="C157" s="41"/>
      <c r="D157" s="41"/>
      <c r="E157" s="42"/>
      <c r="F157" s="42"/>
      <c r="G157" s="43"/>
      <c r="H157" s="44"/>
      <c r="I157" s="42"/>
      <c r="J157" s="42"/>
      <c r="K157" s="41"/>
      <c r="L157" s="41"/>
      <c r="M157" s="45"/>
      <c r="N157" s="61">
        <f t="shared" si="6"/>
        <v>0</v>
      </c>
      <c r="O157" s="61">
        <f t="shared" si="7"/>
        <v>0</v>
      </c>
    </row>
    <row r="158" spans="1:15" customFormat="1" x14ac:dyDescent="0.35">
      <c r="A158" s="40"/>
      <c r="B158" s="41"/>
      <c r="C158" s="41"/>
      <c r="D158" s="41"/>
      <c r="E158" s="42"/>
      <c r="F158" s="42"/>
      <c r="G158" s="43"/>
      <c r="H158" s="44"/>
      <c r="I158" s="42"/>
      <c r="J158" s="42"/>
      <c r="K158" s="41"/>
      <c r="L158" s="41"/>
      <c r="M158" s="45"/>
      <c r="N158" s="61">
        <f t="shared" ref="N158:N189" si="8">IF(G158="SIM",ROUND(E158-(E158/1.23),3),0)</f>
        <v>0</v>
      </c>
      <c r="O158" s="61">
        <f t="shared" ref="O158:O189" si="9">IF(G158="SIM",ROUND(F158-(F158/(1+H158)),3),0)</f>
        <v>0</v>
      </c>
    </row>
    <row r="159" spans="1:15" customFormat="1" x14ac:dyDescent="0.35">
      <c r="A159" s="40"/>
      <c r="B159" s="41"/>
      <c r="C159" s="41"/>
      <c r="D159" s="41"/>
      <c r="E159" s="42"/>
      <c r="F159" s="42"/>
      <c r="G159" s="43"/>
      <c r="H159" s="44"/>
      <c r="I159" s="42"/>
      <c r="J159" s="42"/>
      <c r="K159" s="41"/>
      <c r="L159" s="41"/>
      <c r="M159" s="45"/>
      <c r="N159" s="61">
        <f t="shared" si="8"/>
        <v>0</v>
      </c>
      <c r="O159" s="61">
        <f t="shared" si="9"/>
        <v>0</v>
      </c>
    </row>
    <row r="160" spans="1:15" customFormat="1" x14ac:dyDescent="0.35">
      <c r="A160" s="40"/>
      <c r="B160" s="41"/>
      <c r="C160" s="41"/>
      <c r="D160" s="41"/>
      <c r="E160" s="42"/>
      <c r="F160" s="42"/>
      <c r="G160" s="43"/>
      <c r="H160" s="44"/>
      <c r="I160" s="42"/>
      <c r="J160" s="42"/>
      <c r="K160" s="41"/>
      <c r="L160" s="41"/>
      <c r="M160" s="45"/>
      <c r="N160" s="61">
        <f t="shared" si="8"/>
        <v>0</v>
      </c>
      <c r="O160" s="61">
        <f t="shared" si="9"/>
        <v>0</v>
      </c>
    </row>
    <row r="161" spans="1:15" customFormat="1" x14ac:dyDescent="0.35">
      <c r="A161" s="40"/>
      <c r="B161" s="41"/>
      <c r="C161" s="41"/>
      <c r="D161" s="41"/>
      <c r="E161" s="42"/>
      <c r="F161" s="42"/>
      <c r="G161" s="43"/>
      <c r="H161" s="44"/>
      <c r="I161" s="42"/>
      <c r="J161" s="42"/>
      <c r="K161" s="41"/>
      <c r="L161" s="41"/>
      <c r="M161" s="45"/>
      <c r="N161" s="61">
        <f t="shared" si="8"/>
        <v>0</v>
      </c>
      <c r="O161" s="61">
        <f t="shared" si="9"/>
        <v>0</v>
      </c>
    </row>
    <row r="162" spans="1:15" customFormat="1" x14ac:dyDescent="0.35">
      <c r="A162" s="40"/>
      <c r="B162" s="41"/>
      <c r="C162" s="41"/>
      <c r="D162" s="41"/>
      <c r="E162" s="42"/>
      <c r="F162" s="42"/>
      <c r="G162" s="43"/>
      <c r="H162" s="44"/>
      <c r="I162" s="42"/>
      <c r="J162" s="42"/>
      <c r="K162" s="41"/>
      <c r="L162" s="41"/>
      <c r="M162" s="45"/>
      <c r="N162" s="61">
        <f t="shared" si="8"/>
        <v>0</v>
      </c>
      <c r="O162" s="61">
        <f t="shared" si="9"/>
        <v>0</v>
      </c>
    </row>
    <row r="163" spans="1:15" customFormat="1" x14ac:dyDescent="0.35">
      <c r="A163" s="40"/>
      <c r="B163" s="41"/>
      <c r="C163" s="41"/>
      <c r="D163" s="41"/>
      <c r="E163" s="42"/>
      <c r="F163" s="42"/>
      <c r="G163" s="43"/>
      <c r="H163" s="44"/>
      <c r="I163" s="42"/>
      <c r="J163" s="42"/>
      <c r="K163" s="41"/>
      <c r="L163" s="41"/>
      <c r="M163" s="45"/>
      <c r="N163" s="61">
        <f t="shared" si="8"/>
        <v>0</v>
      </c>
      <c r="O163" s="61">
        <f t="shared" si="9"/>
        <v>0</v>
      </c>
    </row>
    <row r="164" spans="1:15" customFormat="1" x14ac:dyDescent="0.35">
      <c r="A164" s="40"/>
      <c r="B164" s="41"/>
      <c r="C164" s="41"/>
      <c r="D164" s="41"/>
      <c r="E164" s="42"/>
      <c r="F164" s="42"/>
      <c r="G164" s="43"/>
      <c r="H164" s="44"/>
      <c r="I164" s="42"/>
      <c r="J164" s="42"/>
      <c r="K164" s="41"/>
      <c r="L164" s="41"/>
      <c r="M164" s="45"/>
      <c r="N164" s="61">
        <f t="shared" si="8"/>
        <v>0</v>
      </c>
      <c r="O164" s="61">
        <f t="shared" si="9"/>
        <v>0</v>
      </c>
    </row>
    <row r="165" spans="1:15" customFormat="1" x14ac:dyDescent="0.35">
      <c r="A165" s="40"/>
      <c r="B165" s="41"/>
      <c r="C165" s="41"/>
      <c r="D165" s="41"/>
      <c r="E165" s="42"/>
      <c r="F165" s="42"/>
      <c r="G165" s="43"/>
      <c r="H165" s="44"/>
      <c r="I165" s="42"/>
      <c r="J165" s="42"/>
      <c r="K165" s="41"/>
      <c r="L165" s="41"/>
      <c r="M165" s="45"/>
      <c r="N165" s="61">
        <f t="shared" si="8"/>
        <v>0</v>
      </c>
      <c r="O165" s="61">
        <f t="shared" si="9"/>
        <v>0</v>
      </c>
    </row>
    <row r="166" spans="1:15" customFormat="1" x14ac:dyDescent="0.35">
      <c r="A166" s="40"/>
      <c r="B166" s="41"/>
      <c r="C166" s="41"/>
      <c r="D166" s="41"/>
      <c r="E166" s="42"/>
      <c r="F166" s="42"/>
      <c r="G166" s="43"/>
      <c r="H166" s="44"/>
      <c r="I166" s="42"/>
      <c r="J166" s="42"/>
      <c r="K166" s="41"/>
      <c r="L166" s="41"/>
      <c r="M166" s="45"/>
      <c r="N166" s="61">
        <f t="shared" si="8"/>
        <v>0</v>
      </c>
      <c r="O166" s="61">
        <f t="shared" si="9"/>
        <v>0</v>
      </c>
    </row>
    <row r="167" spans="1:15" customFormat="1" x14ac:dyDescent="0.35">
      <c r="A167" s="40"/>
      <c r="B167" s="41"/>
      <c r="C167" s="41"/>
      <c r="D167" s="41"/>
      <c r="E167" s="42"/>
      <c r="F167" s="42"/>
      <c r="G167" s="43"/>
      <c r="H167" s="44"/>
      <c r="I167" s="42"/>
      <c r="J167" s="42"/>
      <c r="K167" s="41"/>
      <c r="L167" s="41"/>
      <c r="M167" s="45"/>
      <c r="N167" s="61">
        <f t="shared" si="8"/>
        <v>0</v>
      </c>
      <c r="O167" s="61">
        <f t="shared" si="9"/>
        <v>0</v>
      </c>
    </row>
    <row r="168" spans="1:15" customFormat="1" x14ac:dyDescent="0.35">
      <c r="A168" s="40"/>
      <c r="B168" s="41"/>
      <c r="C168" s="41"/>
      <c r="D168" s="41"/>
      <c r="E168" s="42"/>
      <c r="F168" s="42"/>
      <c r="G168" s="43"/>
      <c r="H168" s="44"/>
      <c r="I168" s="42"/>
      <c r="J168" s="42"/>
      <c r="K168" s="41"/>
      <c r="L168" s="41"/>
      <c r="M168" s="45"/>
      <c r="N168" s="61">
        <f t="shared" si="8"/>
        <v>0</v>
      </c>
      <c r="O168" s="61">
        <f t="shared" si="9"/>
        <v>0</v>
      </c>
    </row>
    <row r="169" spans="1:15" customFormat="1" x14ac:dyDescent="0.35">
      <c r="A169" s="40"/>
      <c r="B169" s="41"/>
      <c r="C169" s="41"/>
      <c r="D169" s="41"/>
      <c r="E169" s="42"/>
      <c r="F169" s="42"/>
      <c r="G169" s="43"/>
      <c r="H169" s="44"/>
      <c r="I169" s="42"/>
      <c r="J169" s="42"/>
      <c r="K169" s="41"/>
      <c r="L169" s="41"/>
      <c r="M169" s="45"/>
      <c r="N169" s="61">
        <f t="shared" si="8"/>
        <v>0</v>
      </c>
      <c r="O169" s="61">
        <f t="shared" si="9"/>
        <v>0</v>
      </c>
    </row>
    <row r="170" spans="1:15" customFormat="1" x14ac:dyDescent="0.35">
      <c r="A170" s="40"/>
      <c r="B170" s="41"/>
      <c r="C170" s="41"/>
      <c r="D170" s="41"/>
      <c r="E170" s="42"/>
      <c r="F170" s="42"/>
      <c r="G170" s="43"/>
      <c r="H170" s="44"/>
      <c r="I170" s="42"/>
      <c r="J170" s="42"/>
      <c r="K170" s="41"/>
      <c r="L170" s="41"/>
      <c r="M170" s="45"/>
      <c r="N170" s="61">
        <f t="shared" si="8"/>
        <v>0</v>
      </c>
      <c r="O170" s="61">
        <f t="shared" si="9"/>
        <v>0</v>
      </c>
    </row>
    <row r="171" spans="1:15" customFormat="1" x14ac:dyDescent="0.35">
      <c r="A171" s="40"/>
      <c r="B171" s="41"/>
      <c r="C171" s="41"/>
      <c r="D171" s="41"/>
      <c r="E171" s="42"/>
      <c r="F171" s="42"/>
      <c r="G171" s="43"/>
      <c r="H171" s="44"/>
      <c r="I171" s="42"/>
      <c r="J171" s="42"/>
      <c r="K171" s="41"/>
      <c r="L171" s="41"/>
      <c r="M171" s="45"/>
      <c r="N171" s="61">
        <f t="shared" si="8"/>
        <v>0</v>
      </c>
      <c r="O171" s="61">
        <f t="shared" si="9"/>
        <v>0</v>
      </c>
    </row>
    <row r="172" spans="1:15" customFormat="1" x14ac:dyDescent="0.35">
      <c r="A172" s="40"/>
      <c r="B172" s="41"/>
      <c r="C172" s="41"/>
      <c r="D172" s="41"/>
      <c r="E172" s="42"/>
      <c r="F172" s="42"/>
      <c r="G172" s="43"/>
      <c r="H172" s="44"/>
      <c r="I172" s="42"/>
      <c r="J172" s="42"/>
      <c r="K172" s="41"/>
      <c r="L172" s="41"/>
      <c r="M172" s="45"/>
      <c r="N172" s="61">
        <f t="shared" si="8"/>
        <v>0</v>
      </c>
      <c r="O172" s="61">
        <f t="shared" si="9"/>
        <v>0</v>
      </c>
    </row>
    <row r="173" spans="1:15" customFormat="1" x14ac:dyDescent="0.35">
      <c r="A173" s="40"/>
      <c r="B173" s="41"/>
      <c r="C173" s="41"/>
      <c r="D173" s="41"/>
      <c r="E173" s="42"/>
      <c r="F173" s="42"/>
      <c r="G173" s="43"/>
      <c r="H173" s="44"/>
      <c r="I173" s="42"/>
      <c r="J173" s="42"/>
      <c r="K173" s="41"/>
      <c r="L173" s="41"/>
      <c r="M173" s="45"/>
      <c r="N173" s="61">
        <f t="shared" si="8"/>
        <v>0</v>
      </c>
      <c r="O173" s="61">
        <f t="shared" si="9"/>
        <v>0</v>
      </c>
    </row>
    <row r="174" spans="1:15" customFormat="1" x14ac:dyDescent="0.35">
      <c r="A174" s="40"/>
      <c r="B174" s="41"/>
      <c r="C174" s="41"/>
      <c r="D174" s="41"/>
      <c r="E174" s="42"/>
      <c r="F174" s="42"/>
      <c r="G174" s="43"/>
      <c r="H174" s="44"/>
      <c r="I174" s="42"/>
      <c r="J174" s="42"/>
      <c r="K174" s="41"/>
      <c r="L174" s="41"/>
      <c r="M174" s="45"/>
      <c r="N174" s="61">
        <f t="shared" si="8"/>
        <v>0</v>
      </c>
      <c r="O174" s="61">
        <f t="shared" si="9"/>
        <v>0</v>
      </c>
    </row>
    <row r="175" spans="1:15" customFormat="1" x14ac:dyDescent="0.35">
      <c r="A175" s="40"/>
      <c r="B175" s="41"/>
      <c r="C175" s="41"/>
      <c r="D175" s="41"/>
      <c r="E175" s="42"/>
      <c r="F175" s="42"/>
      <c r="G175" s="43"/>
      <c r="H175" s="44"/>
      <c r="I175" s="42"/>
      <c r="J175" s="42"/>
      <c r="K175" s="41"/>
      <c r="L175" s="41"/>
      <c r="M175" s="45"/>
      <c r="N175" s="61">
        <f t="shared" si="8"/>
        <v>0</v>
      </c>
      <c r="O175" s="61">
        <f t="shared" si="9"/>
        <v>0</v>
      </c>
    </row>
    <row r="176" spans="1:15" customFormat="1" x14ac:dyDescent="0.35">
      <c r="A176" s="40"/>
      <c r="B176" s="41"/>
      <c r="C176" s="41"/>
      <c r="D176" s="41"/>
      <c r="E176" s="42"/>
      <c r="F176" s="42"/>
      <c r="G176" s="43"/>
      <c r="H176" s="44"/>
      <c r="I176" s="42"/>
      <c r="J176" s="42"/>
      <c r="K176" s="41"/>
      <c r="L176" s="41"/>
      <c r="M176" s="45"/>
      <c r="N176" s="61">
        <f t="shared" si="8"/>
        <v>0</v>
      </c>
      <c r="O176" s="61">
        <f t="shared" si="9"/>
        <v>0</v>
      </c>
    </row>
    <row r="177" spans="1:15" customFormat="1" x14ac:dyDescent="0.35">
      <c r="A177" s="40"/>
      <c r="B177" s="41"/>
      <c r="C177" s="41"/>
      <c r="D177" s="41"/>
      <c r="E177" s="42"/>
      <c r="F177" s="42"/>
      <c r="G177" s="43"/>
      <c r="H177" s="44"/>
      <c r="I177" s="42"/>
      <c r="J177" s="42"/>
      <c r="K177" s="41"/>
      <c r="L177" s="41"/>
      <c r="M177" s="45"/>
      <c r="N177" s="61">
        <f t="shared" si="8"/>
        <v>0</v>
      </c>
      <c r="O177" s="61">
        <f t="shared" si="9"/>
        <v>0</v>
      </c>
    </row>
    <row r="178" spans="1:15" customFormat="1" x14ac:dyDescent="0.35">
      <c r="A178" s="40"/>
      <c r="B178" s="41"/>
      <c r="C178" s="41"/>
      <c r="D178" s="41"/>
      <c r="E178" s="42"/>
      <c r="F178" s="42"/>
      <c r="G178" s="43"/>
      <c r="H178" s="44"/>
      <c r="I178" s="42"/>
      <c r="J178" s="42"/>
      <c r="K178" s="41"/>
      <c r="L178" s="41"/>
      <c r="M178" s="45"/>
      <c r="N178" s="61">
        <f t="shared" si="8"/>
        <v>0</v>
      </c>
      <c r="O178" s="61">
        <f t="shared" si="9"/>
        <v>0</v>
      </c>
    </row>
    <row r="179" spans="1:15" customFormat="1" x14ac:dyDescent="0.35">
      <c r="A179" s="40"/>
      <c r="B179" s="41"/>
      <c r="C179" s="41"/>
      <c r="D179" s="41"/>
      <c r="E179" s="42"/>
      <c r="F179" s="42"/>
      <c r="G179" s="43"/>
      <c r="H179" s="44"/>
      <c r="I179" s="42"/>
      <c r="J179" s="42"/>
      <c r="K179" s="41"/>
      <c r="L179" s="41"/>
      <c r="M179" s="45"/>
      <c r="N179" s="61">
        <f t="shared" si="8"/>
        <v>0</v>
      </c>
      <c r="O179" s="61">
        <f t="shared" si="9"/>
        <v>0</v>
      </c>
    </row>
    <row r="180" spans="1:15" customFormat="1" x14ac:dyDescent="0.35">
      <c r="A180" s="40"/>
      <c r="B180" s="41"/>
      <c r="C180" s="41"/>
      <c r="D180" s="41"/>
      <c r="E180" s="42"/>
      <c r="F180" s="42"/>
      <c r="G180" s="43"/>
      <c r="H180" s="44"/>
      <c r="I180" s="42"/>
      <c r="J180" s="42"/>
      <c r="K180" s="41"/>
      <c r="L180" s="41"/>
      <c r="M180" s="45"/>
      <c r="N180" s="61">
        <f t="shared" si="8"/>
        <v>0</v>
      </c>
      <c r="O180" s="61">
        <f t="shared" si="9"/>
        <v>0</v>
      </c>
    </row>
    <row r="181" spans="1:15" customFormat="1" x14ac:dyDescent="0.35">
      <c r="A181" s="40"/>
      <c r="B181" s="41"/>
      <c r="C181" s="41"/>
      <c r="D181" s="41"/>
      <c r="E181" s="42"/>
      <c r="F181" s="42"/>
      <c r="G181" s="43"/>
      <c r="H181" s="44"/>
      <c r="I181" s="42"/>
      <c r="J181" s="42"/>
      <c r="K181" s="41"/>
      <c r="L181" s="41"/>
      <c r="M181" s="45"/>
      <c r="N181" s="61">
        <f t="shared" si="8"/>
        <v>0</v>
      </c>
      <c r="O181" s="61">
        <f t="shared" si="9"/>
        <v>0</v>
      </c>
    </row>
    <row r="182" spans="1:15" customFormat="1" x14ac:dyDescent="0.35">
      <c r="A182" s="40"/>
      <c r="B182" s="41"/>
      <c r="C182" s="41"/>
      <c r="D182" s="41"/>
      <c r="E182" s="42"/>
      <c r="F182" s="42"/>
      <c r="G182" s="43"/>
      <c r="H182" s="44"/>
      <c r="I182" s="42"/>
      <c r="J182" s="42"/>
      <c r="K182" s="41"/>
      <c r="L182" s="41"/>
      <c r="M182" s="45"/>
      <c r="N182" s="61">
        <f t="shared" si="8"/>
        <v>0</v>
      </c>
      <c r="O182" s="61">
        <f t="shared" si="9"/>
        <v>0</v>
      </c>
    </row>
    <row r="183" spans="1:15" customFormat="1" x14ac:dyDescent="0.35">
      <c r="A183" s="40"/>
      <c r="B183" s="41"/>
      <c r="C183" s="41"/>
      <c r="D183" s="41"/>
      <c r="E183" s="42"/>
      <c r="F183" s="42"/>
      <c r="G183" s="43"/>
      <c r="H183" s="44"/>
      <c r="I183" s="42"/>
      <c r="J183" s="42"/>
      <c r="K183" s="41"/>
      <c r="L183" s="41"/>
      <c r="M183" s="45"/>
      <c r="N183" s="61">
        <f t="shared" si="8"/>
        <v>0</v>
      </c>
      <c r="O183" s="61">
        <f t="shared" si="9"/>
        <v>0</v>
      </c>
    </row>
    <row r="184" spans="1:15" customFormat="1" x14ac:dyDescent="0.35">
      <c r="A184" s="40"/>
      <c r="B184" s="41"/>
      <c r="C184" s="41"/>
      <c r="D184" s="41"/>
      <c r="E184" s="42"/>
      <c r="F184" s="42"/>
      <c r="G184" s="43"/>
      <c r="H184" s="44"/>
      <c r="I184" s="42"/>
      <c r="J184" s="42"/>
      <c r="K184" s="41"/>
      <c r="L184" s="41"/>
      <c r="M184" s="45"/>
      <c r="N184" s="61">
        <f t="shared" si="8"/>
        <v>0</v>
      </c>
      <c r="O184" s="61">
        <f t="shared" si="9"/>
        <v>0</v>
      </c>
    </row>
    <row r="185" spans="1:15" customFormat="1" x14ac:dyDescent="0.35">
      <c r="A185" s="40"/>
      <c r="B185" s="41"/>
      <c r="C185" s="41"/>
      <c r="D185" s="41"/>
      <c r="E185" s="42"/>
      <c r="F185" s="42"/>
      <c r="G185" s="43"/>
      <c r="H185" s="44"/>
      <c r="I185" s="42"/>
      <c r="J185" s="42"/>
      <c r="K185" s="41"/>
      <c r="L185" s="41"/>
      <c r="M185" s="45"/>
      <c r="N185" s="61">
        <f t="shared" si="8"/>
        <v>0</v>
      </c>
      <c r="O185" s="61">
        <f t="shared" si="9"/>
        <v>0</v>
      </c>
    </row>
    <row r="186" spans="1:15" customFormat="1" x14ac:dyDescent="0.35">
      <c r="A186" s="40"/>
      <c r="B186" s="41"/>
      <c r="C186" s="41"/>
      <c r="D186" s="41"/>
      <c r="E186" s="42"/>
      <c r="F186" s="42"/>
      <c r="G186" s="43"/>
      <c r="H186" s="44"/>
      <c r="I186" s="42"/>
      <c r="J186" s="42"/>
      <c r="K186" s="41"/>
      <c r="L186" s="41"/>
      <c r="M186" s="45"/>
      <c r="N186" s="61">
        <f t="shared" si="8"/>
        <v>0</v>
      </c>
      <c r="O186" s="61">
        <f t="shared" si="9"/>
        <v>0</v>
      </c>
    </row>
    <row r="187" spans="1:15" customFormat="1" x14ac:dyDescent="0.35">
      <c r="A187" s="40"/>
      <c r="B187" s="41"/>
      <c r="C187" s="41"/>
      <c r="D187" s="41"/>
      <c r="E187" s="42"/>
      <c r="F187" s="42"/>
      <c r="G187" s="43"/>
      <c r="H187" s="44"/>
      <c r="I187" s="42"/>
      <c r="J187" s="42"/>
      <c r="K187" s="41"/>
      <c r="L187" s="41"/>
      <c r="M187" s="45"/>
      <c r="N187" s="61">
        <f t="shared" si="8"/>
        <v>0</v>
      </c>
      <c r="O187" s="61">
        <f t="shared" si="9"/>
        <v>0</v>
      </c>
    </row>
    <row r="188" spans="1:15" customFormat="1" x14ac:dyDescent="0.35">
      <c r="A188" s="40"/>
      <c r="B188" s="41"/>
      <c r="C188" s="41"/>
      <c r="D188" s="41"/>
      <c r="E188" s="42"/>
      <c r="F188" s="42"/>
      <c r="G188" s="43"/>
      <c r="H188" s="44"/>
      <c r="I188" s="42"/>
      <c r="J188" s="42"/>
      <c r="K188" s="41"/>
      <c r="L188" s="41"/>
      <c r="M188" s="45"/>
      <c r="N188" s="61">
        <f t="shared" si="8"/>
        <v>0</v>
      </c>
      <c r="O188" s="61">
        <f t="shared" si="9"/>
        <v>0</v>
      </c>
    </row>
    <row r="189" spans="1:15" customFormat="1" x14ac:dyDescent="0.35">
      <c r="A189" s="40"/>
      <c r="B189" s="41"/>
      <c r="C189" s="41"/>
      <c r="D189" s="41"/>
      <c r="E189" s="42"/>
      <c r="F189" s="42"/>
      <c r="G189" s="43"/>
      <c r="H189" s="44"/>
      <c r="I189" s="42"/>
      <c r="J189" s="42"/>
      <c r="K189" s="41"/>
      <c r="L189" s="41"/>
      <c r="M189" s="45"/>
      <c r="N189" s="61">
        <f t="shared" si="8"/>
        <v>0</v>
      </c>
      <c r="O189" s="61">
        <f t="shared" si="9"/>
        <v>0</v>
      </c>
    </row>
    <row r="190" spans="1:15" customFormat="1" x14ac:dyDescent="0.35">
      <c r="A190" s="40"/>
      <c r="B190" s="41"/>
      <c r="C190" s="41"/>
      <c r="D190" s="41"/>
      <c r="E190" s="42"/>
      <c r="F190" s="42"/>
      <c r="G190" s="43"/>
      <c r="H190" s="44"/>
      <c r="I190" s="42"/>
      <c r="J190" s="42"/>
      <c r="K190" s="41"/>
      <c r="L190" s="41"/>
      <c r="M190" s="45"/>
      <c r="N190" s="61">
        <f t="shared" ref="N190:N199" si="10">IF(G190="SIM",ROUND(E190-(E190/1.23),3),0)</f>
        <v>0</v>
      </c>
      <c r="O190" s="61">
        <f t="shared" ref="O190:O199" si="11">IF(G190="SIM",ROUND(F190-(F190/(1+H190)),3),0)</f>
        <v>0</v>
      </c>
    </row>
    <row r="191" spans="1:15" customFormat="1" x14ac:dyDescent="0.35">
      <c r="A191" s="40"/>
      <c r="B191" s="41"/>
      <c r="C191" s="41"/>
      <c r="D191" s="41"/>
      <c r="E191" s="42"/>
      <c r="F191" s="42"/>
      <c r="G191" s="43"/>
      <c r="H191" s="44"/>
      <c r="I191" s="42"/>
      <c r="J191" s="42"/>
      <c r="K191" s="41"/>
      <c r="L191" s="41"/>
      <c r="M191" s="45"/>
      <c r="N191" s="61">
        <f t="shared" si="10"/>
        <v>0</v>
      </c>
      <c r="O191" s="61">
        <f t="shared" si="11"/>
        <v>0</v>
      </c>
    </row>
    <row r="192" spans="1:15" customFormat="1" x14ac:dyDescent="0.35">
      <c r="A192" s="40"/>
      <c r="B192" s="41"/>
      <c r="C192" s="41"/>
      <c r="D192" s="41"/>
      <c r="E192" s="42"/>
      <c r="F192" s="42"/>
      <c r="G192" s="43"/>
      <c r="H192" s="44"/>
      <c r="I192" s="42"/>
      <c r="J192" s="42"/>
      <c r="K192" s="41"/>
      <c r="L192" s="41"/>
      <c r="M192" s="45"/>
      <c r="N192" s="61">
        <f t="shared" si="10"/>
        <v>0</v>
      </c>
      <c r="O192" s="61">
        <f t="shared" si="11"/>
        <v>0</v>
      </c>
    </row>
    <row r="193" spans="1:15" customFormat="1" x14ac:dyDescent="0.35">
      <c r="A193" s="40"/>
      <c r="B193" s="41"/>
      <c r="C193" s="41"/>
      <c r="D193" s="41"/>
      <c r="E193" s="42"/>
      <c r="F193" s="42"/>
      <c r="G193" s="43"/>
      <c r="H193" s="44"/>
      <c r="I193" s="42"/>
      <c r="J193" s="42"/>
      <c r="K193" s="41"/>
      <c r="L193" s="41"/>
      <c r="M193" s="45"/>
      <c r="N193" s="61">
        <f t="shared" si="10"/>
        <v>0</v>
      </c>
      <c r="O193" s="61">
        <f t="shared" si="11"/>
        <v>0</v>
      </c>
    </row>
    <row r="194" spans="1:15" customFormat="1" x14ac:dyDescent="0.35">
      <c r="A194" s="40"/>
      <c r="B194" s="41"/>
      <c r="C194" s="41"/>
      <c r="D194" s="41"/>
      <c r="E194" s="42"/>
      <c r="F194" s="42"/>
      <c r="G194" s="43"/>
      <c r="H194" s="44"/>
      <c r="I194" s="42"/>
      <c r="J194" s="42"/>
      <c r="K194" s="41"/>
      <c r="L194" s="41"/>
      <c r="M194" s="45"/>
      <c r="N194" s="61">
        <f t="shared" si="10"/>
        <v>0</v>
      </c>
      <c r="O194" s="61">
        <f t="shared" si="11"/>
        <v>0</v>
      </c>
    </row>
    <row r="195" spans="1:15" customFormat="1" x14ac:dyDescent="0.35">
      <c r="A195" s="40"/>
      <c r="B195" s="41"/>
      <c r="C195" s="41"/>
      <c r="D195" s="41"/>
      <c r="E195" s="42"/>
      <c r="F195" s="42"/>
      <c r="G195" s="43"/>
      <c r="H195" s="44"/>
      <c r="I195" s="42"/>
      <c r="J195" s="42"/>
      <c r="K195" s="41"/>
      <c r="L195" s="41"/>
      <c r="M195" s="45"/>
      <c r="N195" s="61">
        <f t="shared" si="10"/>
        <v>0</v>
      </c>
      <c r="O195" s="61">
        <f t="shared" si="11"/>
        <v>0</v>
      </c>
    </row>
    <row r="196" spans="1:15" customFormat="1" x14ac:dyDescent="0.35">
      <c r="A196" s="40"/>
      <c r="B196" s="41"/>
      <c r="C196" s="41"/>
      <c r="D196" s="41"/>
      <c r="E196" s="42"/>
      <c r="F196" s="42"/>
      <c r="G196" s="43"/>
      <c r="H196" s="44"/>
      <c r="I196" s="42"/>
      <c r="J196" s="42"/>
      <c r="K196" s="41"/>
      <c r="L196" s="41"/>
      <c r="M196" s="45"/>
      <c r="N196" s="61">
        <f t="shared" si="10"/>
        <v>0</v>
      </c>
      <c r="O196" s="61">
        <f t="shared" si="11"/>
        <v>0</v>
      </c>
    </row>
    <row r="197" spans="1:15" customFormat="1" x14ac:dyDescent="0.35">
      <c r="A197" s="40"/>
      <c r="B197" s="41"/>
      <c r="C197" s="41"/>
      <c r="D197" s="41"/>
      <c r="E197" s="42"/>
      <c r="F197" s="42"/>
      <c r="G197" s="43"/>
      <c r="H197" s="44"/>
      <c r="I197" s="42"/>
      <c r="J197" s="42"/>
      <c r="K197" s="41"/>
      <c r="L197" s="41"/>
      <c r="M197" s="45"/>
      <c r="N197" s="61">
        <f t="shared" si="10"/>
        <v>0</v>
      </c>
      <c r="O197" s="61">
        <f t="shared" si="11"/>
        <v>0</v>
      </c>
    </row>
    <row r="198" spans="1:15" customFormat="1" x14ac:dyDescent="0.35">
      <c r="A198" s="40"/>
      <c r="B198" s="41"/>
      <c r="C198" s="41"/>
      <c r="D198" s="41"/>
      <c r="E198" s="42"/>
      <c r="F198" s="42"/>
      <c r="G198" s="43"/>
      <c r="H198" s="44"/>
      <c r="I198" s="42"/>
      <c r="J198" s="42"/>
      <c r="K198" s="41"/>
      <c r="L198" s="41"/>
      <c r="M198" s="45"/>
      <c r="N198" s="61">
        <f t="shared" si="10"/>
        <v>0</v>
      </c>
      <c r="O198" s="61">
        <f t="shared" si="11"/>
        <v>0</v>
      </c>
    </row>
    <row r="199" spans="1:15" customFormat="1" x14ac:dyDescent="0.35">
      <c r="A199" s="56"/>
      <c r="B199" s="57"/>
      <c r="C199" s="57"/>
      <c r="D199" s="57"/>
      <c r="E199" s="58"/>
      <c r="F199" s="58"/>
      <c r="G199" s="62"/>
      <c r="H199" s="59"/>
      <c r="I199" s="58"/>
      <c r="J199" s="58"/>
      <c r="K199" s="57"/>
      <c r="L199" s="57"/>
      <c r="M199" s="60"/>
      <c r="N199" s="61">
        <f t="shared" si="10"/>
        <v>0</v>
      </c>
      <c r="O199" s="61">
        <f t="shared" si="11"/>
        <v>0</v>
      </c>
    </row>
    <row r="200" spans="1:15" customFormat="1" x14ac:dyDescent="0.35">
      <c r="A200" s="40"/>
      <c r="B200" s="41"/>
      <c r="C200" s="41"/>
      <c r="D200" s="41"/>
      <c r="E200" s="42"/>
      <c r="F200" s="42"/>
      <c r="G200" s="43"/>
      <c r="H200" s="44"/>
      <c r="I200" s="42"/>
      <c r="J200" s="42"/>
      <c r="K200" s="41"/>
      <c r="L200" s="41"/>
      <c r="M200" s="45"/>
      <c r="N200" s="61">
        <f t="shared" ref="N200:N231" si="12">IF(G200="SIM",ROUND(E200-(E200/1.23),3),0)</f>
        <v>0</v>
      </c>
      <c r="O200" s="61">
        <f t="shared" ref="O200:O231" si="13">IF(G200="SIM",ROUND(F200-(F200/(1+H200)),3),0)</f>
        <v>0</v>
      </c>
    </row>
    <row r="201" spans="1:15" customFormat="1" x14ac:dyDescent="0.35">
      <c r="A201" s="40"/>
      <c r="B201" s="41"/>
      <c r="C201" s="41"/>
      <c r="D201" s="41"/>
      <c r="E201" s="42"/>
      <c r="F201" s="42"/>
      <c r="G201" s="43"/>
      <c r="H201" s="44"/>
      <c r="I201" s="42"/>
      <c r="J201" s="42"/>
      <c r="K201" s="41"/>
      <c r="L201" s="41"/>
      <c r="M201" s="45"/>
      <c r="N201" s="61">
        <f t="shared" si="12"/>
        <v>0</v>
      </c>
      <c r="O201" s="61">
        <f t="shared" si="13"/>
        <v>0</v>
      </c>
    </row>
    <row r="202" spans="1:15" customFormat="1" x14ac:dyDescent="0.35">
      <c r="A202" s="40"/>
      <c r="B202" s="41"/>
      <c r="C202" s="41"/>
      <c r="D202" s="41"/>
      <c r="E202" s="42"/>
      <c r="F202" s="42"/>
      <c r="G202" s="43"/>
      <c r="H202" s="44"/>
      <c r="I202" s="42"/>
      <c r="J202" s="42"/>
      <c r="K202" s="41"/>
      <c r="L202" s="41"/>
      <c r="M202" s="45"/>
      <c r="N202" s="61">
        <f t="shared" si="12"/>
        <v>0</v>
      </c>
      <c r="O202" s="61">
        <f t="shared" si="13"/>
        <v>0</v>
      </c>
    </row>
    <row r="203" spans="1:15" customFormat="1" x14ac:dyDescent="0.35">
      <c r="A203" s="40"/>
      <c r="B203" s="41"/>
      <c r="C203" s="41"/>
      <c r="D203" s="41"/>
      <c r="E203" s="42"/>
      <c r="F203" s="42"/>
      <c r="G203" s="43"/>
      <c r="H203" s="44"/>
      <c r="I203" s="42"/>
      <c r="J203" s="42"/>
      <c r="K203" s="41"/>
      <c r="L203" s="41"/>
      <c r="M203" s="45"/>
      <c r="N203" s="61">
        <f t="shared" si="12"/>
        <v>0</v>
      </c>
      <c r="O203" s="61">
        <f t="shared" si="13"/>
        <v>0</v>
      </c>
    </row>
    <row r="204" spans="1:15" customFormat="1" x14ac:dyDescent="0.35">
      <c r="A204" s="40"/>
      <c r="B204" s="41"/>
      <c r="C204" s="41"/>
      <c r="D204" s="41"/>
      <c r="E204" s="42"/>
      <c r="F204" s="42"/>
      <c r="G204" s="43"/>
      <c r="H204" s="44"/>
      <c r="I204" s="42"/>
      <c r="J204" s="42"/>
      <c r="K204" s="41"/>
      <c r="L204" s="41"/>
      <c r="M204" s="45"/>
      <c r="N204" s="61">
        <f t="shared" si="12"/>
        <v>0</v>
      </c>
      <c r="O204" s="61">
        <f t="shared" si="13"/>
        <v>0</v>
      </c>
    </row>
    <row r="205" spans="1:15" customFormat="1" x14ac:dyDescent="0.35">
      <c r="A205" s="40"/>
      <c r="B205" s="41"/>
      <c r="C205" s="41"/>
      <c r="D205" s="41"/>
      <c r="E205" s="42"/>
      <c r="F205" s="42"/>
      <c r="G205" s="43"/>
      <c r="H205" s="44"/>
      <c r="I205" s="42"/>
      <c r="J205" s="42"/>
      <c r="K205" s="41"/>
      <c r="L205" s="41"/>
      <c r="M205" s="45"/>
      <c r="N205" s="61">
        <f t="shared" si="12"/>
        <v>0</v>
      </c>
      <c r="O205" s="61">
        <f t="shared" si="13"/>
        <v>0</v>
      </c>
    </row>
    <row r="206" spans="1:15" customFormat="1" x14ac:dyDescent="0.35">
      <c r="A206" s="40"/>
      <c r="B206" s="41"/>
      <c r="C206" s="41"/>
      <c r="D206" s="41"/>
      <c r="E206" s="42"/>
      <c r="F206" s="42"/>
      <c r="G206" s="43"/>
      <c r="H206" s="44"/>
      <c r="I206" s="42"/>
      <c r="J206" s="42"/>
      <c r="K206" s="41"/>
      <c r="L206" s="41"/>
      <c r="M206" s="45"/>
      <c r="N206" s="61">
        <f t="shared" si="12"/>
        <v>0</v>
      </c>
      <c r="O206" s="61">
        <f t="shared" si="13"/>
        <v>0</v>
      </c>
    </row>
    <row r="207" spans="1:15" customFormat="1" x14ac:dyDescent="0.35">
      <c r="A207" s="40"/>
      <c r="B207" s="41"/>
      <c r="C207" s="41"/>
      <c r="D207" s="41"/>
      <c r="E207" s="42"/>
      <c r="F207" s="42"/>
      <c r="G207" s="43"/>
      <c r="H207" s="44"/>
      <c r="I207" s="42"/>
      <c r="J207" s="42"/>
      <c r="K207" s="41"/>
      <c r="L207" s="41"/>
      <c r="M207" s="45"/>
      <c r="N207" s="61">
        <f t="shared" si="12"/>
        <v>0</v>
      </c>
      <c r="O207" s="61">
        <f t="shared" si="13"/>
        <v>0</v>
      </c>
    </row>
    <row r="208" spans="1:15" customFormat="1" x14ac:dyDescent="0.35">
      <c r="A208" s="40"/>
      <c r="B208" s="41"/>
      <c r="C208" s="41"/>
      <c r="D208" s="41"/>
      <c r="E208" s="42"/>
      <c r="F208" s="42"/>
      <c r="G208" s="43"/>
      <c r="H208" s="44"/>
      <c r="I208" s="42"/>
      <c r="J208" s="42"/>
      <c r="K208" s="41"/>
      <c r="L208" s="41"/>
      <c r="M208" s="45"/>
      <c r="N208" s="61">
        <f t="shared" si="12"/>
        <v>0</v>
      </c>
      <c r="O208" s="61">
        <f t="shared" si="13"/>
        <v>0</v>
      </c>
    </row>
    <row r="209" spans="1:15" customFormat="1" x14ac:dyDescent="0.35">
      <c r="A209" s="40"/>
      <c r="B209" s="41"/>
      <c r="C209" s="41"/>
      <c r="D209" s="41"/>
      <c r="E209" s="42"/>
      <c r="F209" s="42"/>
      <c r="G209" s="43"/>
      <c r="H209" s="44"/>
      <c r="I209" s="42"/>
      <c r="J209" s="42"/>
      <c r="K209" s="41"/>
      <c r="L209" s="41"/>
      <c r="M209" s="45"/>
      <c r="N209" s="61">
        <f t="shared" si="12"/>
        <v>0</v>
      </c>
      <c r="O209" s="61">
        <f t="shared" si="13"/>
        <v>0</v>
      </c>
    </row>
    <row r="210" spans="1:15" customFormat="1" x14ac:dyDescent="0.35">
      <c r="A210" s="40"/>
      <c r="B210" s="41"/>
      <c r="C210" s="41"/>
      <c r="D210" s="41"/>
      <c r="E210" s="42"/>
      <c r="F210" s="42"/>
      <c r="G210" s="43"/>
      <c r="H210" s="44"/>
      <c r="I210" s="42"/>
      <c r="J210" s="42"/>
      <c r="K210" s="41"/>
      <c r="L210" s="41"/>
      <c r="M210" s="45"/>
      <c r="N210" s="61">
        <f t="shared" si="12"/>
        <v>0</v>
      </c>
      <c r="O210" s="61">
        <f t="shared" si="13"/>
        <v>0</v>
      </c>
    </row>
    <row r="211" spans="1:15" customFormat="1" x14ac:dyDescent="0.35">
      <c r="A211" s="40"/>
      <c r="B211" s="41"/>
      <c r="C211" s="41"/>
      <c r="D211" s="41"/>
      <c r="E211" s="42"/>
      <c r="F211" s="42"/>
      <c r="G211" s="43"/>
      <c r="H211" s="44"/>
      <c r="I211" s="42"/>
      <c r="J211" s="42"/>
      <c r="K211" s="41"/>
      <c r="L211" s="41"/>
      <c r="M211" s="45"/>
      <c r="N211" s="61">
        <f t="shared" si="12"/>
        <v>0</v>
      </c>
      <c r="O211" s="61">
        <f t="shared" si="13"/>
        <v>0</v>
      </c>
    </row>
    <row r="212" spans="1:15" customFormat="1" x14ac:dyDescent="0.35">
      <c r="A212" s="40"/>
      <c r="B212" s="41"/>
      <c r="C212" s="41"/>
      <c r="D212" s="41"/>
      <c r="E212" s="42"/>
      <c r="F212" s="42"/>
      <c r="G212" s="43"/>
      <c r="H212" s="44"/>
      <c r="I212" s="42"/>
      <c r="J212" s="42"/>
      <c r="K212" s="41"/>
      <c r="L212" s="41"/>
      <c r="M212" s="45"/>
      <c r="N212" s="61">
        <f t="shared" si="12"/>
        <v>0</v>
      </c>
      <c r="O212" s="61">
        <f t="shared" si="13"/>
        <v>0</v>
      </c>
    </row>
    <row r="213" spans="1:15" customFormat="1" x14ac:dyDescent="0.35">
      <c r="A213" s="40"/>
      <c r="B213" s="41"/>
      <c r="C213" s="41"/>
      <c r="D213" s="41"/>
      <c r="E213" s="42"/>
      <c r="F213" s="42"/>
      <c r="G213" s="43"/>
      <c r="H213" s="44"/>
      <c r="I213" s="42"/>
      <c r="J213" s="42"/>
      <c r="K213" s="41"/>
      <c r="L213" s="41"/>
      <c r="M213" s="45"/>
      <c r="N213" s="61">
        <f t="shared" si="12"/>
        <v>0</v>
      </c>
      <c r="O213" s="61">
        <f t="shared" si="13"/>
        <v>0</v>
      </c>
    </row>
    <row r="214" spans="1:15" customFormat="1" x14ac:dyDescent="0.35">
      <c r="A214" s="40"/>
      <c r="B214" s="41"/>
      <c r="C214" s="41"/>
      <c r="D214" s="41"/>
      <c r="E214" s="42"/>
      <c r="F214" s="42"/>
      <c r="G214" s="43"/>
      <c r="H214" s="44"/>
      <c r="I214" s="42"/>
      <c r="J214" s="42"/>
      <c r="K214" s="41"/>
      <c r="L214" s="41"/>
      <c r="M214" s="45"/>
      <c r="N214" s="61">
        <f t="shared" si="12"/>
        <v>0</v>
      </c>
      <c r="O214" s="61">
        <f t="shared" si="13"/>
        <v>0</v>
      </c>
    </row>
    <row r="215" spans="1:15" customFormat="1" x14ac:dyDescent="0.35">
      <c r="A215" s="40"/>
      <c r="B215" s="41"/>
      <c r="C215" s="41"/>
      <c r="D215" s="41"/>
      <c r="E215" s="42"/>
      <c r="F215" s="42"/>
      <c r="G215" s="43"/>
      <c r="H215" s="44"/>
      <c r="I215" s="42"/>
      <c r="J215" s="42"/>
      <c r="K215" s="41"/>
      <c r="L215" s="41"/>
      <c r="M215" s="45"/>
      <c r="N215" s="61">
        <f t="shared" si="12"/>
        <v>0</v>
      </c>
      <c r="O215" s="61">
        <f t="shared" si="13"/>
        <v>0</v>
      </c>
    </row>
    <row r="216" spans="1:15" customFormat="1" x14ac:dyDescent="0.35">
      <c r="A216" s="40"/>
      <c r="B216" s="41"/>
      <c r="C216" s="41"/>
      <c r="D216" s="41"/>
      <c r="E216" s="42"/>
      <c r="F216" s="42"/>
      <c r="G216" s="43"/>
      <c r="H216" s="44"/>
      <c r="I216" s="42"/>
      <c r="J216" s="42"/>
      <c r="K216" s="41"/>
      <c r="L216" s="41"/>
      <c r="M216" s="45"/>
      <c r="N216" s="61">
        <f t="shared" si="12"/>
        <v>0</v>
      </c>
      <c r="O216" s="61">
        <f t="shared" si="13"/>
        <v>0</v>
      </c>
    </row>
    <row r="217" spans="1:15" customFormat="1" x14ac:dyDescent="0.35">
      <c r="A217" s="40"/>
      <c r="B217" s="41"/>
      <c r="C217" s="41"/>
      <c r="D217" s="41"/>
      <c r="E217" s="42"/>
      <c r="F217" s="42"/>
      <c r="G217" s="43"/>
      <c r="H217" s="44"/>
      <c r="I217" s="42"/>
      <c r="J217" s="42"/>
      <c r="K217" s="41"/>
      <c r="L217" s="41"/>
      <c r="M217" s="45"/>
      <c r="N217" s="61">
        <f t="shared" si="12"/>
        <v>0</v>
      </c>
      <c r="O217" s="61">
        <f t="shared" si="13"/>
        <v>0</v>
      </c>
    </row>
    <row r="218" spans="1:15" customFormat="1" x14ac:dyDescent="0.35">
      <c r="A218" s="40"/>
      <c r="B218" s="41"/>
      <c r="C218" s="41"/>
      <c r="D218" s="41"/>
      <c r="E218" s="42"/>
      <c r="F218" s="42"/>
      <c r="G218" s="43"/>
      <c r="H218" s="44"/>
      <c r="I218" s="42"/>
      <c r="J218" s="42"/>
      <c r="K218" s="41"/>
      <c r="L218" s="41"/>
      <c r="M218" s="45"/>
      <c r="N218" s="61">
        <f t="shared" si="12"/>
        <v>0</v>
      </c>
      <c r="O218" s="61">
        <f t="shared" si="13"/>
        <v>0</v>
      </c>
    </row>
    <row r="219" spans="1:15" customFormat="1" x14ac:dyDescent="0.35">
      <c r="A219" s="40"/>
      <c r="B219" s="41"/>
      <c r="C219" s="41"/>
      <c r="D219" s="41"/>
      <c r="E219" s="42"/>
      <c r="F219" s="42"/>
      <c r="G219" s="43"/>
      <c r="H219" s="44"/>
      <c r="I219" s="42"/>
      <c r="J219" s="42"/>
      <c r="K219" s="41"/>
      <c r="L219" s="41"/>
      <c r="M219" s="45"/>
      <c r="N219" s="61">
        <f t="shared" si="12"/>
        <v>0</v>
      </c>
      <c r="O219" s="61">
        <f t="shared" si="13"/>
        <v>0</v>
      </c>
    </row>
    <row r="220" spans="1:15" customFormat="1" x14ac:dyDescent="0.35">
      <c r="A220" s="40"/>
      <c r="B220" s="41"/>
      <c r="C220" s="41"/>
      <c r="D220" s="41"/>
      <c r="E220" s="42"/>
      <c r="F220" s="42"/>
      <c r="G220" s="43"/>
      <c r="H220" s="44"/>
      <c r="I220" s="42"/>
      <c r="J220" s="42"/>
      <c r="K220" s="41"/>
      <c r="L220" s="41"/>
      <c r="M220" s="45"/>
      <c r="N220" s="61">
        <f t="shared" si="12"/>
        <v>0</v>
      </c>
      <c r="O220" s="61">
        <f t="shared" si="13"/>
        <v>0</v>
      </c>
    </row>
    <row r="221" spans="1:15" customFormat="1" x14ac:dyDescent="0.35">
      <c r="A221" s="40"/>
      <c r="B221" s="41"/>
      <c r="C221" s="41"/>
      <c r="D221" s="41"/>
      <c r="E221" s="42"/>
      <c r="F221" s="42"/>
      <c r="G221" s="43"/>
      <c r="H221" s="44"/>
      <c r="I221" s="42"/>
      <c r="J221" s="42"/>
      <c r="K221" s="41"/>
      <c r="L221" s="41"/>
      <c r="M221" s="45"/>
      <c r="N221" s="61">
        <f t="shared" si="12"/>
        <v>0</v>
      </c>
      <c r="O221" s="61">
        <f t="shared" si="13"/>
        <v>0</v>
      </c>
    </row>
    <row r="222" spans="1:15" customFormat="1" x14ac:dyDescent="0.35">
      <c r="A222" s="40"/>
      <c r="B222" s="41"/>
      <c r="C222" s="41"/>
      <c r="D222" s="41"/>
      <c r="E222" s="42"/>
      <c r="F222" s="42"/>
      <c r="G222" s="43"/>
      <c r="H222" s="44"/>
      <c r="I222" s="42"/>
      <c r="J222" s="42"/>
      <c r="K222" s="41"/>
      <c r="L222" s="41"/>
      <c r="M222" s="45"/>
      <c r="N222" s="61">
        <f t="shared" si="12"/>
        <v>0</v>
      </c>
      <c r="O222" s="61">
        <f t="shared" si="13"/>
        <v>0</v>
      </c>
    </row>
    <row r="223" spans="1:15" customFormat="1" x14ac:dyDescent="0.35">
      <c r="A223" s="40"/>
      <c r="B223" s="41"/>
      <c r="C223" s="41"/>
      <c r="D223" s="41"/>
      <c r="E223" s="42"/>
      <c r="F223" s="42"/>
      <c r="G223" s="43"/>
      <c r="H223" s="44"/>
      <c r="I223" s="42"/>
      <c r="J223" s="42"/>
      <c r="K223" s="41"/>
      <c r="L223" s="41"/>
      <c r="M223" s="45"/>
      <c r="N223" s="61">
        <f t="shared" si="12"/>
        <v>0</v>
      </c>
      <c r="O223" s="61">
        <f t="shared" si="13"/>
        <v>0</v>
      </c>
    </row>
    <row r="224" spans="1:15" customFormat="1" x14ac:dyDescent="0.35">
      <c r="A224" s="40"/>
      <c r="B224" s="41"/>
      <c r="C224" s="41"/>
      <c r="D224" s="41"/>
      <c r="E224" s="42"/>
      <c r="F224" s="42"/>
      <c r="G224" s="43"/>
      <c r="H224" s="44"/>
      <c r="I224" s="42"/>
      <c r="J224" s="42"/>
      <c r="K224" s="41"/>
      <c r="L224" s="41"/>
      <c r="M224" s="45"/>
      <c r="N224" s="61">
        <f t="shared" si="12"/>
        <v>0</v>
      </c>
      <c r="O224" s="61">
        <f t="shared" si="13"/>
        <v>0</v>
      </c>
    </row>
    <row r="225" spans="1:15" customFormat="1" x14ac:dyDescent="0.35">
      <c r="A225" s="40"/>
      <c r="B225" s="41"/>
      <c r="C225" s="41"/>
      <c r="D225" s="41"/>
      <c r="E225" s="42"/>
      <c r="F225" s="42"/>
      <c r="G225" s="43"/>
      <c r="H225" s="44"/>
      <c r="I225" s="42"/>
      <c r="J225" s="42"/>
      <c r="K225" s="41"/>
      <c r="L225" s="41"/>
      <c r="M225" s="45"/>
      <c r="N225" s="61">
        <f t="shared" si="12"/>
        <v>0</v>
      </c>
      <c r="O225" s="61">
        <f t="shared" si="13"/>
        <v>0</v>
      </c>
    </row>
    <row r="226" spans="1:15" customFormat="1" x14ac:dyDescent="0.35">
      <c r="A226" s="40"/>
      <c r="B226" s="41"/>
      <c r="C226" s="41"/>
      <c r="D226" s="41"/>
      <c r="E226" s="42"/>
      <c r="F226" s="42"/>
      <c r="G226" s="43"/>
      <c r="H226" s="44"/>
      <c r="I226" s="42"/>
      <c r="J226" s="42"/>
      <c r="K226" s="41"/>
      <c r="L226" s="41"/>
      <c r="M226" s="45"/>
      <c r="N226" s="61">
        <f t="shared" si="12"/>
        <v>0</v>
      </c>
      <c r="O226" s="61">
        <f t="shared" si="13"/>
        <v>0</v>
      </c>
    </row>
    <row r="227" spans="1:15" customFormat="1" x14ac:dyDescent="0.35">
      <c r="A227" s="40"/>
      <c r="B227" s="41"/>
      <c r="C227" s="41"/>
      <c r="D227" s="41"/>
      <c r="E227" s="42"/>
      <c r="F227" s="42"/>
      <c r="G227" s="43"/>
      <c r="H227" s="44"/>
      <c r="I227" s="42"/>
      <c r="J227" s="42"/>
      <c r="K227" s="41"/>
      <c r="L227" s="41"/>
      <c r="M227" s="45"/>
      <c r="N227" s="61">
        <f t="shared" si="12"/>
        <v>0</v>
      </c>
      <c r="O227" s="61">
        <f t="shared" si="13"/>
        <v>0</v>
      </c>
    </row>
    <row r="228" spans="1:15" customFormat="1" x14ac:dyDescent="0.35">
      <c r="A228" s="40"/>
      <c r="B228" s="41"/>
      <c r="C228" s="41"/>
      <c r="D228" s="41"/>
      <c r="E228" s="42"/>
      <c r="F228" s="42"/>
      <c r="G228" s="43"/>
      <c r="H228" s="44"/>
      <c r="I228" s="42"/>
      <c r="J228" s="42"/>
      <c r="K228" s="41"/>
      <c r="L228" s="41"/>
      <c r="M228" s="45"/>
      <c r="N228" s="61">
        <f t="shared" si="12"/>
        <v>0</v>
      </c>
      <c r="O228" s="61">
        <f t="shared" si="13"/>
        <v>0</v>
      </c>
    </row>
    <row r="229" spans="1:15" customFormat="1" x14ac:dyDescent="0.35">
      <c r="A229" s="40"/>
      <c r="B229" s="41"/>
      <c r="C229" s="41"/>
      <c r="D229" s="41"/>
      <c r="E229" s="42"/>
      <c r="F229" s="42"/>
      <c r="G229" s="43"/>
      <c r="H229" s="44"/>
      <c r="I229" s="42"/>
      <c r="J229" s="42"/>
      <c r="K229" s="41"/>
      <c r="L229" s="41"/>
      <c r="M229" s="45"/>
      <c r="N229" s="61">
        <f t="shared" si="12"/>
        <v>0</v>
      </c>
      <c r="O229" s="61">
        <f t="shared" si="13"/>
        <v>0</v>
      </c>
    </row>
    <row r="230" spans="1:15" customFormat="1" x14ac:dyDescent="0.35">
      <c r="A230" s="40"/>
      <c r="B230" s="41"/>
      <c r="C230" s="41"/>
      <c r="D230" s="41"/>
      <c r="E230" s="42"/>
      <c r="F230" s="42"/>
      <c r="G230" s="43"/>
      <c r="H230" s="44"/>
      <c r="I230" s="42"/>
      <c r="J230" s="42"/>
      <c r="K230" s="41"/>
      <c r="L230" s="41"/>
      <c r="M230" s="45"/>
      <c r="N230" s="61">
        <f t="shared" si="12"/>
        <v>0</v>
      </c>
      <c r="O230" s="61">
        <f t="shared" si="13"/>
        <v>0</v>
      </c>
    </row>
    <row r="231" spans="1:15" customFormat="1" x14ac:dyDescent="0.35">
      <c r="A231" s="40"/>
      <c r="B231" s="41"/>
      <c r="C231" s="41"/>
      <c r="D231" s="41"/>
      <c r="E231" s="42"/>
      <c r="F231" s="42"/>
      <c r="G231" s="43"/>
      <c r="H231" s="44"/>
      <c r="I231" s="42"/>
      <c r="J231" s="42"/>
      <c r="K231" s="41"/>
      <c r="L231" s="41"/>
      <c r="M231" s="45"/>
      <c r="N231" s="61">
        <f t="shared" si="12"/>
        <v>0</v>
      </c>
      <c r="O231" s="61">
        <f t="shared" si="13"/>
        <v>0</v>
      </c>
    </row>
    <row r="232" spans="1:15" customFormat="1" x14ac:dyDescent="0.35">
      <c r="A232" s="40"/>
      <c r="B232" s="41"/>
      <c r="C232" s="41"/>
      <c r="D232" s="41"/>
      <c r="E232" s="42"/>
      <c r="F232" s="42"/>
      <c r="G232" s="43"/>
      <c r="H232" s="44"/>
      <c r="I232" s="42"/>
      <c r="J232" s="42"/>
      <c r="K232" s="41"/>
      <c r="L232" s="41"/>
      <c r="M232" s="45"/>
      <c r="N232" s="61">
        <f t="shared" ref="N232:N263" si="14">IF(G232="SIM",ROUND(E232-(E232/1.23),3),0)</f>
        <v>0</v>
      </c>
      <c r="O232" s="61">
        <f t="shared" ref="O232:O263" si="15">IF(G232="SIM",ROUND(F232-(F232/(1+H232)),3),0)</f>
        <v>0</v>
      </c>
    </row>
    <row r="233" spans="1:15" customFormat="1" x14ac:dyDescent="0.35">
      <c r="A233" s="40"/>
      <c r="B233" s="41"/>
      <c r="C233" s="41"/>
      <c r="D233" s="41"/>
      <c r="E233" s="42"/>
      <c r="F233" s="42"/>
      <c r="G233" s="43"/>
      <c r="H233" s="44"/>
      <c r="I233" s="42"/>
      <c r="J233" s="42"/>
      <c r="K233" s="41"/>
      <c r="L233" s="41"/>
      <c r="M233" s="45"/>
      <c r="N233" s="61">
        <f t="shared" si="14"/>
        <v>0</v>
      </c>
      <c r="O233" s="61">
        <f t="shared" si="15"/>
        <v>0</v>
      </c>
    </row>
    <row r="234" spans="1:15" customFormat="1" x14ac:dyDescent="0.35">
      <c r="A234" s="40"/>
      <c r="B234" s="41"/>
      <c r="C234" s="41"/>
      <c r="D234" s="41"/>
      <c r="E234" s="42"/>
      <c r="F234" s="42"/>
      <c r="G234" s="43"/>
      <c r="H234" s="44"/>
      <c r="I234" s="42"/>
      <c r="J234" s="42"/>
      <c r="K234" s="41"/>
      <c r="L234" s="41"/>
      <c r="M234" s="45"/>
      <c r="N234" s="61">
        <f t="shared" si="14"/>
        <v>0</v>
      </c>
      <c r="O234" s="61">
        <f t="shared" si="15"/>
        <v>0</v>
      </c>
    </row>
    <row r="235" spans="1:15" customFormat="1" x14ac:dyDescent="0.35">
      <c r="A235" s="40"/>
      <c r="B235" s="41"/>
      <c r="C235" s="41"/>
      <c r="D235" s="41"/>
      <c r="E235" s="42"/>
      <c r="F235" s="42"/>
      <c r="G235" s="43"/>
      <c r="H235" s="44"/>
      <c r="I235" s="42"/>
      <c r="J235" s="42"/>
      <c r="K235" s="41"/>
      <c r="L235" s="41"/>
      <c r="M235" s="45"/>
      <c r="N235" s="61">
        <f t="shared" si="14"/>
        <v>0</v>
      </c>
      <c r="O235" s="61">
        <f t="shared" si="15"/>
        <v>0</v>
      </c>
    </row>
    <row r="236" spans="1:15" customFormat="1" x14ac:dyDescent="0.35">
      <c r="A236" s="40"/>
      <c r="B236" s="41"/>
      <c r="C236" s="41"/>
      <c r="D236" s="41"/>
      <c r="E236" s="42"/>
      <c r="F236" s="42"/>
      <c r="G236" s="43"/>
      <c r="H236" s="44"/>
      <c r="I236" s="42"/>
      <c r="J236" s="42"/>
      <c r="K236" s="41"/>
      <c r="L236" s="41"/>
      <c r="M236" s="45"/>
      <c r="N236" s="61">
        <f t="shared" si="14"/>
        <v>0</v>
      </c>
      <c r="O236" s="61">
        <f t="shared" si="15"/>
        <v>0</v>
      </c>
    </row>
    <row r="237" spans="1:15" customFormat="1" x14ac:dyDescent="0.35">
      <c r="A237" s="40"/>
      <c r="B237" s="41"/>
      <c r="C237" s="41"/>
      <c r="D237" s="41"/>
      <c r="E237" s="42"/>
      <c r="F237" s="42"/>
      <c r="G237" s="43"/>
      <c r="H237" s="44"/>
      <c r="I237" s="42"/>
      <c r="J237" s="42"/>
      <c r="K237" s="41"/>
      <c r="L237" s="41"/>
      <c r="M237" s="45"/>
      <c r="N237" s="61">
        <f t="shared" si="14"/>
        <v>0</v>
      </c>
      <c r="O237" s="61">
        <f t="shared" si="15"/>
        <v>0</v>
      </c>
    </row>
    <row r="238" spans="1:15" customFormat="1" x14ac:dyDescent="0.35">
      <c r="A238" s="40"/>
      <c r="B238" s="41"/>
      <c r="C238" s="41"/>
      <c r="D238" s="41"/>
      <c r="E238" s="42"/>
      <c r="F238" s="42"/>
      <c r="G238" s="43"/>
      <c r="H238" s="44"/>
      <c r="I238" s="42"/>
      <c r="J238" s="42"/>
      <c r="K238" s="41"/>
      <c r="L238" s="41"/>
      <c r="M238" s="45"/>
      <c r="N238" s="61">
        <f t="shared" si="14"/>
        <v>0</v>
      </c>
      <c r="O238" s="61">
        <f t="shared" si="15"/>
        <v>0</v>
      </c>
    </row>
    <row r="239" spans="1:15" customFormat="1" x14ac:dyDescent="0.35">
      <c r="A239" s="40"/>
      <c r="B239" s="41"/>
      <c r="C239" s="41"/>
      <c r="D239" s="41"/>
      <c r="E239" s="42"/>
      <c r="F239" s="42"/>
      <c r="G239" s="43"/>
      <c r="H239" s="44"/>
      <c r="I239" s="42"/>
      <c r="J239" s="42"/>
      <c r="K239" s="41"/>
      <c r="L239" s="41"/>
      <c r="M239" s="45"/>
      <c r="N239" s="61">
        <f t="shared" si="14"/>
        <v>0</v>
      </c>
      <c r="O239" s="61">
        <f t="shared" si="15"/>
        <v>0</v>
      </c>
    </row>
    <row r="240" spans="1:15" customFormat="1" x14ac:dyDescent="0.35">
      <c r="A240" s="40"/>
      <c r="B240" s="41"/>
      <c r="C240" s="41"/>
      <c r="D240" s="41"/>
      <c r="E240" s="42"/>
      <c r="F240" s="42"/>
      <c r="G240" s="43"/>
      <c r="H240" s="44"/>
      <c r="I240" s="42"/>
      <c r="J240" s="42"/>
      <c r="K240" s="41"/>
      <c r="L240" s="41"/>
      <c r="M240" s="45"/>
      <c r="N240" s="61">
        <f t="shared" si="14"/>
        <v>0</v>
      </c>
      <c r="O240" s="61">
        <f t="shared" si="15"/>
        <v>0</v>
      </c>
    </row>
    <row r="241" spans="1:15" customFormat="1" x14ac:dyDescent="0.35">
      <c r="A241" s="40"/>
      <c r="B241" s="41"/>
      <c r="C241" s="41"/>
      <c r="D241" s="41"/>
      <c r="E241" s="42"/>
      <c r="F241" s="42"/>
      <c r="G241" s="43"/>
      <c r="H241" s="44"/>
      <c r="I241" s="42"/>
      <c r="J241" s="42"/>
      <c r="K241" s="41"/>
      <c r="L241" s="41"/>
      <c r="M241" s="45"/>
      <c r="N241" s="61">
        <f t="shared" si="14"/>
        <v>0</v>
      </c>
      <c r="O241" s="61">
        <f t="shared" si="15"/>
        <v>0</v>
      </c>
    </row>
    <row r="242" spans="1:15" customFormat="1" x14ac:dyDescent="0.35">
      <c r="A242" s="40"/>
      <c r="B242" s="41"/>
      <c r="C242" s="41"/>
      <c r="D242" s="41"/>
      <c r="E242" s="42"/>
      <c r="F242" s="42"/>
      <c r="G242" s="43"/>
      <c r="H242" s="44"/>
      <c r="I242" s="42"/>
      <c r="J242" s="42"/>
      <c r="K242" s="41"/>
      <c r="L242" s="41"/>
      <c r="M242" s="45"/>
      <c r="N242" s="61">
        <f t="shared" si="14"/>
        <v>0</v>
      </c>
      <c r="O242" s="61">
        <f t="shared" si="15"/>
        <v>0</v>
      </c>
    </row>
    <row r="243" spans="1:15" customFormat="1" x14ac:dyDescent="0.35">
      <c r="A243" s="40"/>
      <c r="B243" s="41"/>
      <c r="C243" s="41"/>
      <c r="D243" s="41"/>
      <c r="E243" s="42"/>
      <c r="F243" s="42"/>
      <c r="G243" s="43"/>
      <c r="H243" s="44"/>
      <c r="I243" s="42"/>
      <c r="J243" s="42"/>
      <c r="K243" s="41"/>
      <c r="L243" s="41"/>
      <c r="M243" s="45"/>
      <c r="N243" s="61">
        <f t="shared" si="14"/>
        <v>0</v>
      </c>
      <c r="O243" s="61">
        <f t="shared" si="15"/>
        <v>0</v>
      </c>
    </row>
    <row r="244" spans="1:15" customFormat="1" x14ac:dyDescent="0.35">
      <c r="A244" s="40"/>
      <c r="B244" s="41"/>
      <c r="C244" s="41"/>
      <c r="D244" s="41"/>
      <c r="E244" s="42"/>
      <c r="F244" s="42"/>
      <c r="G244" s="43"/>
      <c r="H244" s="44"/>
      <c r="I244" s="42"/>
      <c r="J244" s="42"/>
      <c r="K244" s="41"/>
      <c r="L244" s="41"/>
      <c r="M244" s="45"/>
      <c r="N244" s="61">
        <f t="shared" si="14"/>
        <v>0</v>
      </c>
      <c r="O244" s="61">
        <f t="shared" si="15"/>
        <v>0</v>
      </c>
    </row>
    <row r="245" spans="1:15" customFormat="1" x14ac:dyDescent="0.35">
      <c r="A245" s="40"/>
      <c r="B245" s="41"/>
      <c r="C245" s="41"/>
      <c r="D245" s="41"/>
      <c r="E245" s="42"/>
      <c r="F245" s="42"/>
      <c r="G245" s="43"/>
      <c r="H245" s="44"/>
      <c r="I245" s="42"/>
      <c r="J245" s="42"/>
      <c r="K245" s="41"/>
      <c r="L245" s="41"/>
      <c r="M245" s="45"/>
      <c r="N245" s="61">
        <f t="shared" si="14"/>
        <v>0</v>
      </c>
      <c r="O245" s="61">
        <f t="shared" si="15"/>
        <v>0</v>
      </c>
    </row>
    <row r="246" spans="1:15" customFormat="1" x14ac:dyDescent="0.35">
      <c r="A246" s="40"/>
      <c r="B246" s="41"/>
      <c r="C246" s="41"/>
      <c r="D246" s="41"/>
      <c r="E246" s="42"/>
      <c r="F246" s="42"/>
      <c r="G246" s="43"/>
      <c r="H246" s="44"/>
      <c r="I246" s="42"/>
      <c r="J246" s="42"/>
      <c r="K246" s="41"/>
      <c r="L246" s="41"/>
      <c r="M246" s="45"/>
      <c r="N246" s="61">
        <f t="shared" si="14"/>
        <v>0</v>
      </c>
      <c r="O246" s="61">
        <f t="shared" si="15"/>
        <v>0</v>
      </c>
    </row>
    <row r="247" spans="1:15" customFormat="1" x14ac:dyDescent="0.35">
      <c r="A247" s="40"/>
      <c r="B247" s="41"/>
      <c r="C247" s="41"/>
      <c r="D247" s="41"/>
      <c r="E247" s="42"/>
      <c r="F247" s="42"/>
      <c r="G247" s="43"/>
      <c r="H247" s="44"/>
      <c r="I247" s="42"/>
      <c r="J247" s="42"/>
      <c r="K247" s="41"/>
      <c r="L247" s="41"/>
      <c r="M247" s="45"/>
      <c r="N247" s="61">
        <f t="shared" si="14"/>
        <v>0</v>
      </c>
      <c r="O247" s="61">
        <f t="shared" si="15"/>
        <v>0</v>
      </c>
    </row>
    <row r="248" spans="1:15" customFormat="1" x14ac:dyDescent="0.35">
      <c r="A248" s="40"/>
      <c r="B248" s="41"/>
      <c r="C248" s="41"/>
      <c r="D248" s="41"/>
      <c r="E248" s="42"/>
      <c r="F248" s="42"/>
      <c r="G248" s="43"/>
      <c r="H248" s="44"/>
      <c r="I248" s="42"/>
      <c r="J248" s="42"/>
      <c r="K248" s="41"/>
      <c r="L248" s="41"/>
      <c r="M248" s="45"/>
      <c r="N248" s="61">
        <f t="shared" si="14"/>
        <v>0</v>
      </c>
      <c r="O248" s="61">
        <f t="shared" si="15"/>
        <v>0</v>
      </c>
    </row>
    <row r="249" spans="1:15" customFormat="1" x14ac:dyDescent="0.35">
      <c r="A249" s="40"/>
      <c r="B249" s="41"/>
      <c r="C249" s="41"/>
      <c r="D249" s="41"/>
      <c r="E249" s="42"/>
      <c r="F249" s="42"/>
      <c r="G249" s="43"/>
      <c r="H249" s="44"/>
      <c r="I249" s="42"/>
      <c r="J249" s="42"/>
      <c r="K249" s="41"/>
      <c r="L249" s="41"/>
      <c r="M249" s="45"/>
      <c r="N249" s="61">
        <f t="shared" si="14"/>
        <v>0</v>
      </c>
      <c r="O249" s="61">
        <f t="shared" si="15"/>
        <v>0</v>
      </c>
    </row>
    <row r="250" spans="1:15" customFormat="1" x14ac:dyDescent="0.35">
      <c r="A250" s="40"/>
      <c r="B250" s="41"/>
      <c r="C250" s="41"/>
      <c r="D250" s="41"/>
      <c r="E250" s="42"/>
      <c r="F250" s="42"/>
      <c r="G250" s="43"/>
      <c r="H250" s="44"/>
      <c r="I250" s="42"/>
      <c r="J250" s="42"/>
      <c r="K250" s="41"/>
      <c r="L250" s="41"/>
      <c r="M250" s="45"/>
      <c r="N250" s="61">
        <f t="shared" si="14"/>
        <v>0</v>
      </c>
      <c r="O250" s="61">
        <f t="shared" si="15"/>
        <v>0</v>
      </c>
    </row>
    <row r="251" spans="1:15" customFormat="1" x14ac:dyDescent="0.35">
      <c r="A251" s="40"/>
      <c r="B251" s="41"/>
      <c r="C251" s="41"/>
      <c r="D251" s="41"/>
      <c r="E251" s="42"/>
      <c r="F251" s="42"/>
      <c r="G251" s="43"/>
      <c r="H251" s="44"/>
      <c r="I251" s="42"/>
      <c r="J251" s="42"/>
      <c r="K251" s="41"/>
      <c r="L251" s="41"/>
      <c r="M251" s="45"/>
      <c r="N251" s="61">
        <f t="shared" si="14"/>
        <v>0</v>
      </c>
      <c r="O251" s="61">
        <f t="shared" si="15"/>
        <v>0</v>
      </c>
    </row>
    <row r="252" spans="1:15" customFormat="1" x14ac:dyDescent="0.35">
      <c r="A252" s="40"/>
      <c r="B252" s="41"/>
      <c r="C252" s="41"/>
      <c r="D252" s="41"/>
      <c r="E252" s="42"/>
      <c r="F252" s="42"/>
      <c r="G252" s="43"/>
      <c r="H252" s="44"/>
      <c r="I252" s="42"/>
      <c r="J252" s="42"/>
      <c r="K252" s="41"/>
      <c r="L252" s="41"/>
      <c r="M252" s="45"/>
      <c r="N252" s="61">
        <f t="shared" si="14"/>
        <v>0</v>
      </c>
      <c r="O252" s="61">
        <f t="shared" si="15"/>
        <v>0</v>
      </c>
    </row>
    <row r="253" spans="1:15" customFormat="1" x14ac:dyDescent="0.35">
      <c r="A253" s="40"/>
      <c r="B253" s="41"/>
      <c r="C253" s="41"/>
      <c r="D253" s="41"/>
      <c r="E253" s="42"/>
      <c r="F253" s="42"/>
      <c r="G253" s="43"/>
      <c r="H253" s="44"/>
      <c r="I253" s="42"/>
      <c r="J253" s="42"/>
      <c r="K253" s="41"/>
      <c r="L253" s="41"/>
      <c r="M253" s="45"/>
      <c r="N253" s="61">
        <f t="shared" si="14"/>
        <v>0</v>
      </c>
      <c r="O253" s="61">
        <f t="shared" si="15"/>
        <v>0</v>
      </c>
    </row>
    <row r="254" spans="1:15" customFormat="1" x14ac:dyDescent="0.35">
      <c r="A254" s="40"/>
      <c r="B254" s="41"/>
      <c r="C254" s="41"/>
      <c r="D254" s="41"/>
      <c r="E254" s="42"/>
      <c r="F254" s="42"/>
      <c r="G254" s="43"/>
      <c r="H254" s="44"/>
      <c r="I254" s="42"/>
      <c r="J254" s="42"/>
      <c r="K254" s="41"/>
      <c r="L254" s="41"/>
      <c r="M254" s="45"/>
      <c r="N254" s="61">
        <f t="shared" si="14"/>
        <v>0</v>
      </c>
      <c r="O254" s="61">
        <f t="shared" si="15"/>
        <v>0</v>
      </c>
    </row>
    <row r="255" spans="1:15" customFormat="1" x14ac:dyDescent="0.35">
      <c r="A255" s="40"/>
      <c r="B255" s="41"/>
      <c r="C255" s="41"/>
      <c r="D255" s="41"/>
      <c r="E255" s="42"/>
      <c r="F255" s="42"/>
      <c r="G255" s="43"/>
      <c r="H255" s="44"/>
      <c r="I255" s="42"/>
      <c r="J255" s="42"/>
      <c r="K255" s="41"/>
      <c r="L255" s="41"/>
      <c r="M255" s="45"/>
      <c r="N255" s="61">
        <f t="shared" si="14"/>
        <v>0</v>
      </c>
      <c r="O255" s="61">
        <f t="shared" si="15"/>
        <v>0</v>
      </c>
    </row>
    <row r="256" spans="1:15" customFormat="1" x14ac:dyDescent="0.35">
      <c r="A256" s="40"/>
      <c r="B256" s="41"/>
      <c r="C256" s="41"/>
      <c r="D256" s="41"/>
      <c r="E256" s="42"/>
      <c r="F256" s="42"/>
      <c r="G256" s="43"/>
      <c r="H256" s="44"/>
      <c r="I256" s="42"/>
      <c r="J256" s="42"/>
      <c r="K256" s="41"/>
      <c r="L256" s="41"/>
      <c r="M256" s="45"/>
      <c r="N256" s="61">
        <f t="shared" si="14"/>
        <v>0</v>
      </c>
      <c r="O256" s="61">
        <f t="shared" si="15"/>
        <v>0</v>
      </c>
    </row>
    <row r="257" spans="1:15" customFormat="1" x14ac:dyDescent="0.35">
      <c r="A257" s="40"/>
      <c r="B257" s="41"/>
      <c r="C257" s="41"/>
      <c r="D257" s="41"/>
      <c r="E257" s="42"/>
      <c r="F257" s="42"/>
      <c r="G257" s="43"/>
      <c r="H257" s="44"/>
      <c r="I257" s="42"/>
      <c r="J257" s="42"/>
      <c r="K257" s="41"/>
      <c r="L257" s="41"/>
      <c r="M257" s="45"/>
      <c r="N257" s="61">
        <f t="shared" si="14"/>
        <v>0</v>
      </c>
      <c r="O257" s="61">
        <f t="shared" si="15"/>
        <v>0</v>
      </c>
    </row>
    <row r="258" spans="1:15" customFormat="1" x14ac:dyDescent="0.35">
      <c r="A258" s="40"/>
      <c r="B258" s="41"/>
      <c r="C258" s="41"/>
      <c r="D258" s="41"/>
      <c r="E258" s="42"/>
      <c r="F258" s="42"/>
      <c r="G258" s="43"/>
      <c r="H258" s="44"/>
      <c r="I258" s="42"/>
      <c r="J258" s="42"/>
      <c r="K258" s="41"/>
      <c r="L258" s="41"/>
      <c r="M258" s="45"/>
      <c r="N258" s="61">
        <f t="shared" si="14"/>
        <v>0</v>
      </c>
      <c r="O258" s="61">
        <f t="shared" si="15"/>
        <v>0</v>
      </c>
    </row>
    <row r="259" spans="1:15" customFormat="1" x14ac:dyDescent="0.35">
      <c r="A259" s="40"/>
      <c r="B259" s="41"/>
      <c r="C259" s="41"/>
      <c r="D259" s="41"/>
      <c r="E259" s="42"/>
      <c r="F259" s="42"/>
      <c r="G259" s="43"/>
      <c r="H259" s="44"/>
      <c r="I259" s="42"/>
      <c r="J259" s="42"/>
      <c r="K259" s="41"/>
      <c r="L259" s="41"/>
      <c r="M259" s="45"/>
      <c r="N259" s="61">
        <f t="shared" si="14"/>
        <v>0</v>
      </c>
      <c r="O259" s="61">
        <f t="shared" si="15"/>
        <v>0</v>
      </c>
    </row>
    <row r="260" spans="1:15" customFormat="1" x14ac:dyDescent="0.35">
      <c r="A260" s="40"/>
      <c r="B260" s="41"/>
      <c r="C260" s="41"/>
      <c r="D260" s="41"/>
      <c r="E260" s="42"/>
      <c r="F260" s="42"/>
      <c r="G260" s="43"/>
      <c r="H260" s="44"/>
      <c r="I260" s="42"/>
      <c r="J260" s="42"/>
      <c r="K260" s="41"/>
      <c r="L260" s="41"/>
      <c r="M260" s="45"/>
      <c r="N260" s="61">
        <f t="shared" si="14"/>
        <v>0</v>
      </c>
      <c r="O260" s="61">
        <f t="shared" si="15"/>
        <v>0</v>
      </c>
    </row>
    <row r="261" spans="1:15" customFormat="1" x14ac:dyDescent="0.35">
      <c r="A261" s="40"/>
      <c r="B261" s="41"/>
      <c r="C261" s="41"/>
      <c r="D261" s="41"/>
      <c r="E261" s="42"/>
      <c r="F261" s="42"/>
      <c r="G261" s="43"/>
      <c r="H261" s="44"/>
      <c r="I261" s="42"/>
      <c r="J261" s="42"/>
      <c r="K261" s="41"/>
      <c r="L261" s="41"/>
      <c r="M261" s="45"/>
      <c r="N261" s="61">
        <f t="shared" si="14"/>
        <v>0</v>
      </c>
      <c r="O261" s="61">
        <f t="shared" si="15"/>
        <v>0</v>
      </c>
    </row>
    <row r="262" spans="1:15" customFormat="1" x14ac:dyDescent="0.35">
      <c r="A262" s="40"/>
      <c r="B262" s="41"/>
      <c r="C262" s="41"/>
      <c r="D262" s="41"/>
      <c r="E262" s="42"/>
      <c r="F262" s="42"/>
      <c r="G262" s="43"/>
      <c r="H262" s="44"/>
      <c r="I262" s="42"/>
      <c r="J262" s="42"/>
      <c r="K262" s="41"/>
      <c r="L262" s="41"/>
      <c r="M262" s="45"/>
      <c r="N262" s="61">
        <f t="shared" si="14"/>
        <v>0</v>
      </c>
      <c r="O262" s="61">
        <f t="shared" si="15"/>
        <v>0</v>
      </c>
    </row>
    <row r="263" spans="1:15" customFormat="1" x14ac:dyDescent="0.35">
      <c r="A263" s="40"/>
      <c r="B263" s="41"/>
      <c r="C263" s="41"/>
      <c r="D263" s="41"/>
      <c r="E263" s="42"/>
      <c r="F263" s="42"/>
      <c r="G263" s="43"/>
      <c r="H263" s="44"/>
      <c r="I263" s="42"/>
      <c r="J263" s="42"/>
      <c r="K263" s="41"/>
      <c r="L263" s="41"/>
      <c r="M263" s="45"/>
      <c r="N263" s="61">
        <f t="shared" si="14"/>
        <v>0</v>
      </c>
      <c r="O263" s="61">
        <f t="shared" si="15"/>
        <v>0</v>
      </c>
    </row>
    <row r="264" spans="1:15" customFormat="1" x14ac:dyDescent="0.35">
      <c r="A264" s="40"/>
      <c r="B264" s="41"/>
      <c r="C264" s="41"/>
      <c r="D264" s="41"/>
      <c r="E264" s="42"/>
      <c r="F264" s="42"/>
      <c r="G264" s="43"/>
      <c r="H264" s="44"/>
      <c r="I264" s="42"/>
      <c r="J264" s="42"/>
      <c r="K264" s="41"/>
      <c r="L264" s="41"/>
      <c r="M264" s="45"/>
      <c r="N264" s="61">
        <f t="shared" ref="N264:N299" si="16">IF(G264="SIM",ROUND(E264-(E264/1.23),3),0)</f>
        <v>0</v>
      </c>
      <c r="O264" s="61">
        <f t="shared" ref="O264:O299" si="17">IF(G264="SIM",ROUND(F264-(F264/(1+H264)),3),0)</f>
        <v>0</v>
      </c>
    </row>
    <row r="265" spans="1:15" customFormat="1" x14ac:dyDescent="0.35">
      <c r="A265" s="40"/>
      <c r="B265" s="41"/>
      <c r="C265" s="41"/>
      <c r="D265" s="41"/>
      <c r="E265" s="42"/>
      <c r="F265" s="42"/>
      <c r="G265" s="43"/>
      <c r="H265" s="44"/>
      <c r="I265" s="42"/>
      <c r="J265" s="42"/>
      <c r="K265" s="41"/>
      <c r="L265" s="41"/>
      <c r="M265" s="45"/>
      <c r="N265" s="61">
        <f t="shared" si="16"/>
        <v>0</v>
      </c>
      <c r="O265" s="61">
        <f t="shared" si="17"/>
        <v>0</v>
      </c>
    </row>
    <row r="266" spans="1:15" customFormat="1" x14ac:dyDescent="0.35">
      <c r="A266" s="40"/>
      <c r="B266" s="41"/>
      <c r="C266" s="41"/>
      <c r="D266" s="41"/>
      <c r="E266" s="42"/>
      <c r="F266" s="42"/>
      <c r="G266" s="43"/>
      <c r="H266" s="44"/>
      <c r="I266" s="42"/>
      <c r="J266" s="42"/>
      <c r="K266" s="41"/>
      <c r="L266" s="41"/>
      <c r="M266" s="45"/>
      <c r="N266" s="61">
        <f t="shared" si="16"/>
        <v>0</v>
      </c>
      <c r="O266" s="61">
        <f t="shared" si="17"/>
        <v>0</v>
      </c>
    </row>
    <row r="267" spans="1:15" customFormat="1" x14ac:dyDescent="0.35">
      <c r="A267" s="40"/>
      <c r="B267" s="41"/>
      <c r="C267" s="41"/>
      <c r="D267" s="41"/>
      <c r="E267" s="42"/>
      <c r="F267" s="42"/>
      <c r="G267" s="43"/>
      <c r="H267" s="44"/>
      <c r="I267" s="42"/>
      <c r="J267" s="42"/>
      <c r="K267" s="41"/>
      <c r="L267" s="41"/>
      <c r="M267" s="45"/>
      <c r="N267" s="61">
        <f t="shared" si="16"/>
        <v>0</v>
      </c>
      <c r="O267" s="61">
        <f t="shared" si="17"/>
        <v>0</v>
      </c>
    </row>
    <row r="268" spans="1:15" customFormat="1" x14ac:dyDescent="0.35">
      <c r="A268" s="40"/>
      <c r="B268" s="41"/>
      <c r="C268" s="41"/>
      <c r="D268" s="41"/>
      <c r="E268" s="42"/>
      <c r="F268" s="42"/>
      <c r="G268" s="43"/>
      <c r="H268" s="44"/>
      <c r="I268" s="42"/>
      <c r="J268" s="42"/>
      <c r="K268" s="41"/>
      <c r="L268" s="41"/>
      <c r="M268" s="45"/>
      <c r="N268" s="61">
        <f t="shared" si="16"/>
        <v>0</v>
      </c>
      <c r="O268" s="61">
        <f t="shared" si="17"/>
        <v>0</v>
      </c>
    </row>
    <row r="269" spans="1:15" customFormat="1" x14ac:dyDescent="0.35">
      <c r="A269" s="40"/>
      <c r="B269" s="41"/>
      <c r="C269" s="41"/>
      <c r="D269" s="41"/>
      <c r="E269" s="42"/>
      <c r="F269" s="42"/>
      <c r="G269" s="43"/>
      <c r="H269" s="44"/>
      <c r="I269" s="42"/>
      <c r="J269" s="42"/>
      <c r="K269" s="41"/>
      <c r="L269" s="41"/>
      <c r="M269" s="45"/>
      <c r="N269" s="61">
        <f t="shared" si="16"/>
        <v>0</v>
      </c>
      <c r="O269" s="61">
        <f t="shared" si="17"/>
        <v>0</v>
      </c>
    </row>
    <row r="270" spans="1:15" customFormat="1" x14ac:dyDescent="0.35">
      <c r="A270" s="40"/>
      <c r="B270" s="41"/>
      <c r="C270" s="41"/>
      <c r="D270" s="41"/>
      <c r="E270" s="42"/>
      <c r="F270" s="42"/>
      <c r="G270" s="43"/>
      <c r="H270" s="44"/>
      <c r="I270" s="42"/>
      <c r="J270" s="42"/>
      <c r="K270" s="41"/>
      <c r="L270" s="41"/>
      <c r="M270" s="45"/>
      <c r="N270" s="61">
        <f t="shared" si="16"/>
        <v>0</v>
      </c>
      <c r="O270" s="61">
        <f t="shared" si="17"/>
        <v>0</v>
      </c>
    </row>
    <row r="271" spans="1:15" customFormat="1" x14ac:dyDescent="0.35">
      <c r="A271" s="40"/>
      <c r="B271" s="41"/>
      <c r="C271" s="41"/>
      <c r="D271" s="41"/>
      <c r="E271" s="42"/>
      <c r="F271" s="42"/>
      <c r="G271" s="43"/>
      <c r="H271" s="44"/>
      <c r="I271" s="42"/>
      <c r="J271" s="42"/>
      <c r="K271" s="41"/>
      <c r="L271" s="41"/>
      <c r="M271" s="45"/>
      <c r="N271" s="61">
        <f t="shared" si="16"/>
        <v>0</v>
      </c>
      <c r="O271" s="61">
        <f t="shared" si="17"/>
        <v>0</v>
      </c>
    </row>
    <row r="272" spans="1:15" customFormat="1" x14ac:dyDescent="0.35">
      <c r="A272" s="40"/>
      <c r="B272" s="41"/>
      <c r="C272" s="41"/>
      <c r="D272" s="41"/>
      <c r="E272" s="42"/>
      <c r="F272" s="42"/>
      <c r="G272" s="43"/>
      <c r="H272" s="44"/>
      <c r="I272" s="42"/>
      <c r="J272" s="42"/>
      <c r="K272" s="41"/>
      <c r="L272" s="41"/>
      <c r="M272" s="45"/>
      <c r="N272" s="61">
        <f t="shared" si="16"/>
        <v>0</v>
      </c>
      <c r="O272" s="61">
        <f t="shared" si="17"/>
        <v>0</v>
      </c>
    </row>
    <row r="273" spans="1:15" customFormat="1" x14ac:dyDescent="0.35">
      <c r="A273" s="40"/>
      <c r="B273" s="41"/>
      <c r="C273" s="41"/>
      <c r="D273" s="41"/>
      <c r="E273" s="42"/>
      <c r="F273" s="42"/>
      <c r="G273" s="43"/>
      <c r="H273" s="44"/>
      <c r="I273" s="42"/>
      <c r="J273" s="42"/>
      <c r="K273" s="41"/>
      <c r="L273" s="41"/>
      <c r="M273" s="45"/>
      <c r="N273" s="61">
        <f t="shared" si="16"/>
        <v>0</v>
      </c>
      <c r="O273" s="61">
        <f t="shared" si="17"/>
        <v>0</v>
      </c>
    </row>
    <row r="274" spans="1:15" customFormat="1" x14ac:dyDescent="0.35">
      <c r="A274" s="40"/>
      <c r="B274" s="41"/>
      <c r="C274" s="41"/>
      <c r="D274" s="41"/>
      <c r="E274" s="42"/>
      <c r="F274" s="42"/>
      <c r="G274" s="43"/>
      <c r="H274" s="44"/>
      <c r="I274" s="42"/>
      <c r="J274" s="42"/>
      <c r="K274" s="41"/>
      <c r="L274" s="41"/>
      <c r="M274" s="45"/>
      <c r="N274" s="61">
        <f t="shared" si="16"/>
        <v>0</v>
      </c>
      <c r="O274" s="61">
        <f t="shared" si="17"/>
        <v>0</v>
      </c>
    </row>
    <row r="275" spans="1:15" customFormat="1" x14ac:dyDescent="0.35">
      <c r="A275" s="40"/>
      <c r="B275" s="41"/>
      <c r="C275" s="41"/>
      <c r="D275" s="41"/>
      <c r="E275" s="42"/>
      <c r="F275" s="42"/>
      <c r="G275" s="43"/>
      <c r="H275" s="44"/>
      <c r="I275" s="42"/>
      <c r="J275" s="42"/>
      <c r="K275" s="41"/>
      <c r="L275" s="41"/>
      <c r="M275" s="45"/>
      <c r="N275" s="61">
        <f t="shared" si="16"/>
        <v>0</v>
      </c>
      <c r="O275" s="61">
        <f t="shared" si="17"/>
        <v>0</v>
      </c>
    </row>
    <row r="276" spans="1:15" customFormat="1" x14ac:dyDescent="0.35">
      <c r="A276" s="40"/>
      <c r="B276" s="41"/>
      <c r="C276" s="41"/>
      <c r="D276" s="41"/>
      <c r="E276" s="42"/>
      <c r="F276" s="42"/>
      <c r="G276" s="43"/>
      <c r="H276" s="44"/>
      <c r="I276" s="42"/>
      <c r="J276" s="42"/>
      <c r="K276" s="41"/>
      <c r="L276" s="41"/>
      <c r="M276" s="45"/>
      <c r="N276" s="61">
        <f t="shared" si="16"/>
        <v>0</v>
      </c>
      <c r="O276" s="61">
        <f t="shared" si="17"/>
        <v>0</v>
      </c>
    </row>
    <row r="277" spans="1:15" customFormat="1" x14ac:dyDescent="0.35">
      <c r="A277" s="40"/>
      <c r="B277" s="41"/>
      <c r="C277" s="41"/>
      <c r="D277" s="41"/>
      <c r="E277" s="42"/>
      <c r="F277" s="42"/>
      <c r="G277" s="43"/>
      <c r="H277" s="44"/>
      <c r="I277" s="42"/>
      <c r="J277" s="42"/>
      <c r="K277" s="41"/>
      <c r="L277" s="41"/>
      <c r="M277" s="45"/>
      <c r="N277" s="61">
        <f t="shared" si="16"/>
        <v>0</v>
      </c>
      <c r="O277" s="61">
        <f t="shared" si="17"/>
        <v>0</v>
      </c>
    </row>
    <row r="278" spans="1:15" customFormat="1" x14ac:dyDescent="0.35">
      <c r="A278" s="40"/>
      <c r="B278" s="41"/>
      <c r="C278" s="41"/>
      <c r="D278" s="41"/>
      <c r="E278" s="42"/>
      <c r="F278" s="42"/>
      <c r="G278" s="43"/>
      <c r="H278" s="44"/>
      <c r="I278" s="42"/>
      <c r="J278" s="42"/>
      <c r="K278" s="41"/>
      <c r="L278" s="41"/>
      <c r="M278" s="45"/>
      <c r="N278" s="61">
        <f t="shared" si="16"/>
        <v>0</v>
      </c>
      <c r="O278" s="61">
        <f t="shared" si="17"/>
        <v>0</v>
      </c>
    </row>
    <row r="279" spans="1:15" customFormat="1" x14ac:dyDescent="0.35">
      <c r="A279" s="40"/>
      <c r="B279" s="41"/>
      <c r="C279" s="41"/>
      <c r="D279" s="41"/>
      <c r="E279" s="42"/>
      <c r="F279" s="42"/>
      <c r="G279" s="43"/>
      <c r="H279" s="44"/>
      <c r="I279" s="42"/>
      <c r="J279" s="42"/>
      <c r="K279" s="41"/>
      <c r="L279" s="41"/>
      <c r="M279" s="45"/>
      <c r="N279" s="61">
        <f t="shared" si="16"/>
        <v>0</v>
      </c>
      <c r="O279" s="61">
        <f t="shared" si="17"/>
        <v>0</v>
      </c>
    </row>
    <row r="280" spans="1:15" customFormat="1" x14ac:dyDescent="0.35">
      <c r="A280" s="40"/>
      <c r="B280" s="41"/>
      <c r="C280" s="41"/>
      <c r="D280" s="41"/>
      <c r="E280" s="42"/>
      <c r="F280" s="42"/>
      <c r="G280" s="43"/>
      <c r="H280" s="44"/>
      <c r="I280" s="42"/>
      <c r="J280" s="42"/>
      <c r="K280" s="41"/>
      <c r="L280" s="41"/>
      <c r="M280" s="45"/>
      <c r="N280" s="61">
        <f t="shared" si="16"/>
        <v>0</v>
      </c>
      <c r="O280" s="61">
        <f t="shared" si="17"/>
        <v>0</v>
      </c>
    </row>
    <row r="281" spans="1:15" customFormat="1" x14ac:dyDescent="0.35">
      <c r="A281" s="40"/>
      <c r="B281" s="41"/>
      <c r="C281" s="41"/>
      <c r="D281" s="41"/>
      <c r="E281" s="42"/>
      <c r="F281" s="42"/>
      <c r="G281" s="43"/>
      <c r="H281" s="44"/>
      <c r="I281" s="42"/>
      <c r="J281" s="42"/>
      <c r="K281" s="41"/>
      <c r="L281" s="41"/>
      <c r="M281" s="45"/>
      <c r="N281" s="61">
        <f t="shared" si="16"/>
        <v>0</v>
      </c>
      <c r="O281" s="61">
        <f t="shared" si="17"/>
        <v>0</v>
      </c>
    </row>
    <row r="282" spans="1:15" customFormat="1" x14ac:dyDescent="0.35">
      <c r="A282" s="40"/>
      <c r="B282" s="41"/>
      <c r="C282" s="41"/>
      <c r="D282" s="41"/>
      <c r="E282" s="42"/>
      <c r="F282" s="42"/>
      <c r="G282" s="43"/>
      <c r="H282" s="44"/>
      <c r="I282" s="42"/>
      <c r="J282" s="42"/>
      <c r="K282" s="41"/>
      <c r="L282" s="41"/>
      <c r="M282" s="45"/>
      <c r="N282" s="61">
        <f t="shared" si="16"/>
        <v>0</v>
      </c>
      <c r="O282" s="61">
        <f t="shared" si="17"/>
        <v>0</v>
      </c>
    </row>
    <row r="283" spans="1:15" customFormat="1" x14ac:dyDescent="0.35">
      <c r="A283" s="40"/>
      <c r="B283" s="41"/>
      <c r="C283" s="41"/>
      <c r="D283" s="41"/>
      <c r="E283" s="42"/>
      <c r="F283" s="42"/>
      <c r="G283" s="43"/>
      <c r="H283" s="44"/>
      <c r="I283" s="42"/>
      <c r="J283" s="42"/>
      <c r="K283" s="41"/>
      <c r="L283" s="41"/>
      <c r="M283" s="45"/>
      <c r="N283" s="61">
        <f t="shared" si="16"/>
        <v>0</v>
      </c>
      <c r="O283" s="61">
        <f t="shared" si="17"/>
        <v>0</v>
      </c>
    </row>
    <row r="284" spans="1:15" customFormat="1" x14ac:dyDescent="0.35">
      <c r="A284" s="40"/>
      <c r="B284" s="41"/>
      <c r="C284" s="41"/>
      <c r="D284" s="41"/>
      <c r="E284" s="42"/>
      <c r="F284" s="42"/>
      <c r="G284" s="43"/>
      <c r="H284" s="44"/>
      <c r="I284" s="42"/>
      <c r="J284" s="42"/>
      <c r="K284" s="41"/>
      <c r="L284" s="41"/>
      <c r="M284" s="45"/>
      <c r="N284" s="61">
        <f t="shared" si="16"/>
        <v>0</v>
      </c>
      <c r="O284" s="61">
        <f t="shared" si="17"/>
        <v>0</v>
      </c>
    </row>
    <row r="285" spans="1:15" customFormat="1" x14ac:dyDescent="0.35">
      <c r="A285" s="40"/>
      <c r="B285" s="41"/>
      <c r="C285" s="41"/>
      <c r="D285" s="41"/>
      <c r="E285" s="42"/>
      <c r="F285" s="42"/>
      <c r="G285" s="43"/>
      <c r="H285" s="44"/>
      <c r="I285" s="42"/>
      <c r="J285" s="42"/>
      <c r="K285" s="41"/>
      <c r="L285" s="41"/>
      <c r="M285" s="45"/>
      <c r="N285" s="61">
        <f t="shared" si="16"/>
        <v>0</v>
      </c>
      <c r="O285" s="61">
        <f t="shared" si="17"/>
        <v>0</v>
      </c>
    </row>
    <row r="286" spans="1:15" customFormat="1" x14ac:dyDescent="0.35">
      <c r="A286" s="40"/>
      <c r="B286" s="41"/>
      <c r="C286" s="41"/>
      <c r="D286" s="41"/>
      <c r="E286" s="42"/>
      <c r="F286" s="42"/>
      <c r="G286" s="43"/>
      <c r="H286" s="44"/>
      <c r="I286" s="42"/>
      <c r="J286" s="42"/>
      <c r="K286" s="41"/>
      <c r="L286" s="41"/>
      <c r="M286" s="45"/>
      <c r="N286" s="61">
        <f t="shared" si="16"/>
        <v>0</v>
      </c>
      <c r="O286" s="61">
        <f t="shared" si="17"/>
        <v>0</v>
      </c>
    </row>
    <row r="287" spans="1:15" customFormat="1" x14ac:dyDescent="0.35">
      <c r="A287" s="40"/>
      <c r="B287" s="41"/>
      <c r="C287" s="41"/>
      <c r="D287" s="41"/>
      <c r="E287" s="42"/>
      <c r="F287" s="42"/>
      <c r="G287" s="43"/>
      <c r="H287" s="44"/>
      <c r="I287" s="42"/>
      <c r="J287" s="42"/>
      <c r="K287" s="41"/>
      <c r="L287" s="41"/>
      <c r="M287" s="45"/>
      <c r="N287" s="61">
        <f t="shared" si="16"/>
        <v>0</v>
      </c>
      <c r="O287" s="61">
        <f t="shared" si="17"/>
        <v>0</v>
      </c>
    </row>
    <row r="288" spans="1:15" customFormat="1" x14ac:dyDescent="0.35">
      <c r="A288" s="40"/>
      <c r="B288" s="41"/>
      <c r="C288" s="41"/>
      <c r="D288" s="41"/>
      <c r="E288" s="42"/>
      <c r="F288" s="42"/>
      <c r="G288" s="43"/>
      <c r="H288" s="44"/>
      <c r="I288" s="42"/>
      <c r="J288" s="42"/>
      <c r="K288" s="41"/>
      <c r="L288" s="41"/>
      <c r="M288" s="45"/>
      <c r="N288" s="61">
        <f t="shared" si="16"/>
        <v>0</v>
      </c>
      <c r="O288" s="61">
        <f t="shared" si="17"/>
        <v>0</v>
      </c>
    </row>
    <row r="289" spans="1:15" customFormat="1" x14ac:dyDescent="0.35">
      <c r="A289" s="40"/>
      <c r="B289" s="41"/>
      <c r="C289" s="41"/>
      <c r="D289" s="41"/>
      <c r="E289" s="42"/>
      <c r="F289" s="42"/>
      <c r="G289" s="43"/>
      <c r="H289" s="44"/>
      <c r="I289" s="42"/>
      <c r="J289" s="42"/>
      <c r="K289" s="41"/>
      <c r="L289" s="41"/>
      <c r="M289" s="45"/>
      <c r="N289" s="61">
        <f t="shared" si="16"/>
        <v>0</v>
      </c>
      <c r="O289" s="61">
        <f t="shared" si="17"/>
        <v>0</v>
      </c>
    </row>
    <row r="290" spans="1:15" customFormat="1" x14ac:dyDescent="0.35">
      <c r="A290" s="40"/>
      <c r="B290" s="41"/>
      <c r="C290" s="41"/>
      <c r="D290" s="41"/>
      <c r="E290" s="42"/>
      <c r="F290" s="42"/>
      <c r="G290" s="43"/>
      <c r="H290" s="44"/>
      <c r="I290" s="42"/>
      <c r="J290" s="42"/>
      <c r="K290" s="41"/>
      <c r="L290" s="41"/>
      <c r="M290" s="45"/>
      <c r="N290" s="61">
        <f t="shared" si="16"/>
        <v>0</v>
      </c>
      <c r="O290" s="61">
        <f t="shared" si="17"/>
        <v>0</v>
      </c>
    </row>
    <row r="291" spans="1:15" customFormat="1" x14ac:dyDescent="0.35">
      <c r="A291" s="40"/>
      <c r="B291" s="41"/>
      <c r="C291" s="41"/>
      <c r="D291" s="41"/>
      <c r="E291" s="42"/>
      <c r="F291" s="42"/>
      <c r="G291" s="43"/>
      <c r="H291" s="44"/>
      <c r="I291" s="42"/>
      <c r="J291" s="42"/>
      <c r="K291" s="41"/>
      <c r="L291" s="41"/>
      <c r="M291" s="45"/>
      <c r="N291" s="61">
        <f t="shared" si="16"/>
        <v>0</v>
      </c>
      <c r="O291" s="61">
        <f t="shared" si="17"/>
        <v>0</v>
      </c>
    </row>
    <row r="292" spans="1:15" customFormat="1" x14ac:dyDescent="0.35">
      <c r="A292" s="40"/>
      <c r="B292" s="41"/>
      <c r="C292" s="41"/>
      <c r="D292" s="41"/>
      <c r="E292" s="42"/>
      <c r="F292" s="42"/>
      <c r="G292" s="43"/>
      <c r="H292" s="44"/>
      <c r="I292" s="42"/>
      <c r="J292" s="42"/>
      <c r="K292" s="41"/>
      <c r="L292" s="41"/>
      <c r="M292" s="45"/>
      <c r="N292" s="61">
        <f t="shared" si="16"/>
        <v>0</v>
      </c>
      <c r="O292" s="61">
        <f t="shared" si="17"/>
        <v>0</v>
      </c>
    </row>
    <row r="293" spans="1:15" customFormat="1" x14ac:dyDescent="0.35">
      <c r="A293" s="40"/>
      <c r="B293" s="41"/>
      <c r="C293" s="41"/>
      <c r="D293" s="41"/>
      <c r="E293" s="42"/>
      <c r="F293" s="42"/>
      <c r="G293" s="43"/>
      <c r="H293" s="44"/>
      <c r="I293" s="42"/>
      <c r="J293" s="42"/>
      <c r="K293" s="41"/>
      <c r="L293" s="41"/>
      <c r="M293" s="45"/>
      <c r="N293" s="61">
        <f t="shared" si="16"/>
        <v>0</v>
      </c>
      <c r="O293" s="61">
        <f t="shared" si="17"/>
        <v>0</v>
      </c>
    </row>
    <row r="294" spans="1:15" customFormat="1" x14ac:dyDescent="0.35">
      <c r="A294" s="40"/>
      <c r="B294" s="41"/>
      <c r="C294" s="41"/>
      <c r="D294" s="41"/>
      <c r="E294" s="42"/>
      <c r="F294" s="42"/>
      <c r="G294" s="43"/>
      <c r="H294" s="44"/>
      <c r="I294" s="42"/>
      <c r="J294" s="42"/>
      <c r="K294" s="41"/>
      <c r="L294" s="41"/>
      <c r="M294" s="45"/>
      <c r="N294" s="61">
        <f t="shared" si="16"/>
        <v>0</v>
      </c>
      <c r="O294" s="61">
        <f t="shared" si="17"/>
        <v>0</v>
      </c>
    </row>
    <row r="295" spans="1:15" customFormat="1" x14ac:dyDescent="0.35">
      <c r="A295" s="40"/>
      <c r="B295" s="41"/>
      <c r="C295" s="41"/>
      <c r="D295" s="41"/>
      <c r="E295" s="42"/>
      <c r="F295" s="42"/>
      <c r="G295" s="43"/>
      <c r="H295" s="44"/>
      <c r="I295" s="42"/>
      <c r="J295" s="42"/>
      <c r="K295" s="41"/>
      <c r="L295" s="41"/>
      <c r="M295" s="45"/>
      <c r="N295" s="61">
        <f t="shared" si="16"/>
        <v>0</v>
      </c>
      <c r="O295" s="61">
        <f t="shared" si="17"/>
        <v>0</v>
      </c>
    </row>
    <row r="296" spans="1:15" customFormat="1" x14ac:dyDescent="0.35">
      <c r="A296" s="40"/>
      <c r="B296" s="41"/>
      <c r="C296" s="41"/>
      <c r="D296" s="41"/>
      <c r="E296" s="42"/>
      <c r="F296" s="42"/>
      <c r="G296" s="43"/>
      <c r="H296" s="44"/>
      <c r="I296" s="42"/>
      <c r="J296" s="42"/>
      <c r="K296" s="41"/>
      <c r="L296" s="41"/>
      <c r="M296" s="45"/>
      <c r="N296" s="61">
        <f t="shared" si="16"/>
        <v>0</v>
      </c>
      <c r="O296" s="61">
        <f t="shared" si="17"/>
        <v>0</v>
      </c>
    </row>
    <row r="297" spans="1:15" customFormat="1" x14ac:dyDescent="0.35">
      <c r="A297" s="40"/>
      <c r="B297" s="41"/>
      <c r="C297" s="41"/>
      <c r="D297" s="41"/>
      <c r="E297" s="42"/>
      <c r="F297" s="42"/>
      <c r="G297" s="43"/>
      <c r="H297" s="44"/>
      <c r="I297" s="42"/>
      <c r="J297" s="42"/>
      <c r="K297" s="41"/>
      <c r="L297" s="41"/>
      <c r="M297" s="45"/>
      <c r="N297" s="61">
        <f t="shared" si="16"/>
        <v>0</v>
      </c>
      <c r="O297" s="61">
        <f t="shared" si="17"/>
        <v>0</v>
      </c>
    </row>
    <row r="298" spans="1:15" customFormat="1" x14ac:dyDescent="0.35">
      <c r="A298" s="40"/>
      <c r="B298" s="41"/>
      <c r="C298" s="41"/>
      <c r="D298" s="41"/>
      <c r="E298" s="42"/>
      <c r="F298" s="42"/>
      <c r="G298" s="43"/>
      <c r="H298" s="44"/>
      <c r="I298" s="42"/>
      <c r="J298" s="42"/>
      <c r="K298" s="41"/>
      <c r="L298" s="41"/>
      <c r="M298" s="45"/>
      <c r="N298" s="61">
        <f t="shared" si="16"/>
        <v>0</v>
      </c>
      <c r="O298" s="61">
        <f t="shared" si="17"/>
        <v>0</v>
      </c>
    </row>
    <row r="299" spans="1:15" customFormat="1" x14ac:dyDescent="0.35">
      <c r="A299" s="56"/>
      <c r="B299" s="57"/>
      <c r="C299" s="57"/>
      <c r="D299" s="57"/>
      <c r="E299" s="58"/>
      <c r="F299" s="58"/>
      <c r="G299" s="62"/>
      <c r="H299" s="59"/>
      <c r="I299" s="58"/>
      <c r="J299" s="58"/>
      <c r="K299" s="57"/>
      <c r="L299" s="57"/>
      <c r="M299" s="60"/>
      <c r="N299" s="61">
        <f t="shared" si="16"/>
        <v>0</v>
      </c>
      <c r="O299" s="61">
        <f t="shared" si="17"/>
        <v>0</v>
      </c>
    </row>
  </sheetData>
  <sortState ref="A4:XFD383">
    <sortCondition ref="A4:A383"/>
  </sortState>
  <mergeCells count="1">
    <mergeCell ref="A1:M1"/>
  </mergeCells>
  <phoneticPr fontId="5" type="noConversion"/>
  <conditionalFormatting sqref="A58:A92 A5:A56">
    <cfRule type="cellIs" dxfId="25" priority="39" stopIfTrue="1" operator="between">
      <formula>44562</formula>
      <formula>44926</formula>
    </cfRule>
  </conditionalFormatting>
  <conditionalFormatting sqref="D71">
    <cfRule type="duplicateValues" dxfId="24" priority="26" stopIfTrue="1"/>
  </conditionalFormatting>
  <conditionalFormatting sqref="D75">
    <cfRule type="duplicateValues" dxfId="23" priority="24" stopIfTrue="1"/>
  </conditionalFormatting>
  <conditionalFormatting sqref="D81">
    <cfRule type="duplicateValues" dxfId="22" priority="22" stopIfTrue="1"/>
  </conditionalFormatting>
  <conditionalFormatting sqref="D83">
    <cfRule type="duplicateValues" dxfId="21" priority="20" stopIfTrue="1"/>
  </conditionalFormatting>
  <conditionalFormatting sqref="D85">
    <cfRule type="duplicateValues" dxfId="20" priority="18" stopIfTrue="1"/>
  </conditionalFormatting>
  <conditionalFormatting sqref="D72:D74 D1:D70 D76:D80 D82 D84 D86:D92">
    <cfRule type="duplicateValues" dxfId="19" priority="176" stopIfTrue="1"/>
  </conditionalFormatting>
  <conditionalFormatting sqref="D1:D92">
    <cfRule type="duplicateValues" dxfId="18" priority="179"/>
  </conditionalFormatting>
  <dataValidations count="1">
    <dataValidation type="list" allowBlank="1" showInputMessage="1" showErrorMessage="1" sqref="G5:G299">
      <formula1>"SIM,NÃO"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AUXILIAR!$G$2:$G$6</xm:f>
          </x14:formula1>
          <xm:sqref>H1:H2 H4</xm:sqref>
        </x14:dataValidation>
        <x14:dataValidation type="list" allowBlank="1" showInputMessage="1" showErrorMessage="1">
          <x14:formula1>
            <xm:f>AUXILIAR!$G$2:$G$7</xm:f>
          </x14:formula1>
          <xm:sqref>H5:H299</xm:sqref>
        </x14:dataValidation>
        <x14:dataValidation type="list" allowBlank="1" showInputMessage="1" showErrorMessage="1">
          <x14:formula1>
            <xm:f>OFFSET(AUXILIAR!$A$2,0,0,COUNTA(AUXILIAR!A:A)-1)</xm:f>
          </x14:formula1>
          <xm:sqref>K5:K299</xm:sqref>
        </x14:dataValidation>
        <x14:dataValidation type="list" allowBlank="1" showInputMessage="1" showErrorMessage="1">
          <x14:formula1>
            <xm:f>OFFSET(AUXILIAR!$C$2,0,0,COUNTA(AUXILIAR!C:C)-1)</xm:f>
          </x14:formula1>
          <xm:sqref>L5:L299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A1:G56"/>
  <sheetViews>
    <sheetView workbookViewId="0">
      <selection activeCell="A6" sqref="A6"/>
    </sheetView>
  </sheetViews>
  <sheetFormatPr defaultColWidth="8.81640625" defaultRowHeight="14.5" x14ac:dyDescent="0.35"/>
  <cols>
    <col min="1" max="1" width="12.453125" bestFit="1" customWidth="1"/>
    <col min="2" max="2" width="14.453125" bestFit="1" customWidth="1"/>
    <col min="3" max="3" width="43.1796875" bestFit="1" customWidth="1"/>
    <col min="4" max="4" width="70.81640625" bestFit="1" customWidth="1"/>
    <col min="5" max="5" width="13.1796875" bestFit="1" customWidth="1"/>
  </cols>
  <sheetData>
    <row r="1" spans="1:7" x14ac:dyDescent="0.35">
      <c r="A1" s="1" t="s">
        <v>60</v>
      </c>
      <c r="C1" t="s">
        <v>61</v>
      </c>
      <c r="E1" t="s">
        <v>62</v>
      </c>
      <c r="G1" t="s">
        <v>14</v>
      </c>
    </row>
    <row r="2" spans="1:7" x14ac:dyDescent="0.35">
      <c r="A2" t="s">
        <v>123</v>
      </c>
      <c r="C2" t="s">
        <v>36</v>
      </c>
      <c r="D2" t="s">
        <v>63</v>
      </c>
      <c r="G2" s="9">
        <v>0.23</v>
      </c>
    </row>
    <row r="3" spans="1:7" x14ac:dyDescent="0.35">
      <c r="A3" t="s">
        <v>125</v>
      </c>
      <c r="C3" t="s">
        <v>64</v>
      </c>
      <c r="D3" t="s">
        <v>65</v>
      </c>
      <c r="G3" s="9">
        <v>0.13</v>
      </c>
    </row>
    <row r="4" spans="1:7" x14ac:dyDescent="0.35">
      <c r="A4" t="s">
        <v>124</v>
      </c>
      <c r="C4" t="s">
        <v>37</v>
      </c>
      <c r="E4" s="10" t="s">
        <v>66</v>
      </c>
      <c r="G4" s="9">
        <v>0.06</v>
      </c>
    </row>
    <row r="5" spans="1:7" x14ac:dyDescent="0.35">
      <c r="A5" t="s">
        <v>126</v>
      </c>
      <c r="C5" t="s">
        <v>67</v>
      </c>
      <c r="G5" s="9">
        <v>0.16</v>
      </c>
    </row>
    <row r="6" spans="1:7" x14ac:dyDescent="0.35">
      <c r="C6" t="s">
        <v>46</v>
      </c>
      <c r="G6" s="9">
        <v>0.04</v>
      </c>
    </row>
    <row r="7" spans="1:7" x14ac:dyDescent="0.35">
      <c r="C7" t="s">
        <v>25</v>
      </c>
      <c r="G7" s="9">
        <v>0</v>
      </c>
    </row>
    <row r="8" spans="1:7" x14ac:dyDescent="0.35">
      <c r="C8" t="s">
        <v>68</v>
      </c>
    </row>
    <row r="9" spans="1:7" x14ac:dyDescent="0.35">
      <c r="C9" t="s">
        <v>49</v>
      </c>
    </row>
    <row r="10" spans="1:7" x14ac:dyDescent="0.35">
      <c r="C10" t="s">
        <v>45</v>
      </c>
    </row>
    <row r="11" spans="1:7" x14ac:dyDescent="0.35">
      <c r="C11" t="s">
        <v>26</v>
      </c>
    </row>
    <row r="12" spans="1:7" x14ac:dyDescent="0.35">
      <c r="C12" t="s">
        <v>55</v>
      </c>
    </row>
    <row r="13" spans="1:7" x14ac:dyDescent="0.35">
      <c r="C13" t="s">
        <v>56</v>
      </c>
    </row>
    <row r="14" spans="1:7" x14ac:dyDescent="0.35">
      <c r="C14" t="s">
        <v>42</v>
      </c>
    </row>
    <row r="15" spans="1:7" x14ac:dyDescent="0.35">
      <c r="C15" t="s">
        <v>21</v>
      </c>
      <c r="D15" t="s">
        <v>69</v>
      </c>
    </row>
    <row r="16" spans="1:7" x14ac:dyDescent="0.35">
      <c r="C16" t="s">
        <v>22</v>
      </c>
      <c r="D16" t="s">
        <v>70</v>
      </c>
    </row>
    <row r="17" spans="3:5" x14ac:dyDescent="0.35">
      <c r="C17" t="s">
        <v>4</v>
      </c>
      <c r="D17" t="s">
        <v>71</v>
      </c>
    </row>
    <row r="18" spans="3:5" x14ac:dyDescent="0.35">
      <c r="C18" t="s">
        <v>33</v>
      </c>
      <c r="D18" t="s">
        <v>72</v>
      </c>
    </row>
    <row r="19" spans="3:5" x14ac:dyDescent="0.35">
      <c r="C19" s="2" t="s">
        <v>30</v>
      </c>
      <c r="D19" t="s">
        <v>73</v>
      </c>
    </row>
    <row r="20" spans="3:5" x14ac:dyDescent="0.35">
      <c r="C20" t="s">
        <v>23</v>
      </c>
      <c r="D20" t="s">
        <v>74</v>
      </c>
    </row>
    <row r="21" spans="3:5" x14ac:dyDescent="0.35">
      <c r="C21" t="s">
        <v>75</v>
      </c>
    </row>
    <row r="22" spans="3:5" x14ac:dyDescent="0.35">
      <c r="C22" t="s">
        <v>44</v>
      </c>
    </row>
    <row r="23" spans="3:5" x14ac:dyDescent="0.35">
      <c r="C23" s="2" t="s">
        <v>29</v>
      </c>
      <c r="D23" t="s">
        <v>76</v>
      </c>
    </row>
    <row r="24" spans="3:5" x14ac:dyDescent="0.35">
      <c r="C24" t="s">
        <v>77</v>
      </c>
    </row>
    <row r="25" spans="3:5" x14ac:dyDescent="0.35">
      <c r="C25" t="s">
        <v>54</v>
      </c>
    </row>
    <row r="26" spans="3:5" x14ac:dyDescent="0.35">
      <c r="C26" t="s">
        <v>35</v>
      </c>
      <c r="D26" t="s">
        <v>78</v>
      </c>
    </row>
    <row r="27" spans="3:5" x14ac:dyDescent="0.35">
      <c r="C27" t="s">
        <v>53</v>
      </c>
    </row>
    <row r="28" spans="3:5" x14ac:dyDescent="0.35">
      <c r="C28" t="s">
        <v>41</v>
      </c>
    </row>
    <row r="29" spans="3:5" x14ac:dyDescent="0.35">
      <c r="C29" t="s">
        <v>39</v>
      </c>
      <c r="D29" t="s">
        <v>79</v>
      </c>
      <c r="E29">
        <v>62236</v>
      </c>
    </row>
    <row r="30" spans="3:5" x14ac:dyDescent="0.35">
      <c r="C30" t="s">
        <v>1</v>
      </c>
    </row>
    <row r="31" spans="3:5" x14ac:dyDescent="0.35">
      <c r="C31" t="s">
        <v>34</v>
      </c>
    </row>
    <row r="32" spans="3:5" x14ac:dyDescent="0.35">
      <c r="C32" t="s">
        <v>58</v>
      </c>
    </row>
    <row r="33" spans="3:5" x14ac:dyDescent="0.35">
      <c r="C33" t="s">
        <v>51</v>
      </c>
    </row>
    <row r="34" spans="3:5" x14ac:dyDescent="0.35">
      <c r="C34" t="s">
        <v>38</v>
      </c>
    </row>
    <row r="35" spans="3:5" x14ac:dyDescent="0.35">
      <c r="C35" t="s">
        <v>80</v>
      </c>
    </row>
    <row r="36" spans="3:5" x14ac:dyDescent="0.35">
      <c r="C36" t="s">
        <v>32</v>
      </c>
    </row>
    <row r="37" spans="3:5" x14ac:dyDescent="0.35">
      <c r="C37" t="s">
        <v>52</v>
      </c>
    </row>
    <row r="38" spans="3:5" x14ac:dyDescent="0.35">
      <c r="C38" t="s">
        <v>40</v>
      </c>
      <c r="D38" t="s">
        <v>81</v>
      </c>
    </row>
    <row r="39" spans="3:5" x14ac:dyDescent="0.35">
      <c r="C39" t="s">
        <v>31</v>
      </c>
      <c r="E39">
        <v>7211</v>
      </c>
    </row>
    <row r="40" spans="3:5" x14ac:dyDescent="0.35">
      <c r="C40" t="s">
        <v>48</v>
      </c>
      <c r="E40">
        <v>722</v>
      </c>
    </row>
    <row r="41" spans="3:5" x14ac:dyDescent="0.35">
      <c r="C41" t="s">
        <v>59</v>
      </c>
      <c r="D41" t="s">
        <v>82</v>
      </c>
    </row>
    <row r="42" spans="3:5" x14ac:dyDescent="0.35">
      <c r="C42" t="s">
        <v>83</v>
      </c>
      <c r="E42">
        <v>7213</v>
      </c>
    </row>
    <row r="43" spans="3:5" x14ac:dyDescent="0.35">
      <c r="C43" t="s">
        <v>84</v>
      </c>
      <c r="E43">
        <v>7213</v>
      </c>
    </row>
    <row r="44" spans="3:5" x14ac:dyDescent="0.35">
      <c r="C44" t="s">
        <v>3</v>
      </c>
      <c r="D44" t="s">
        <v>85</v>
      </c>
    </row>
    <row r="45" spans="3:5" x14ac:dyDescent="0.35">
      <c r="C45" t="s">
        <v>2</v>
      </c>
      <c r="D45" t="s">
        <v>85</v>
      </c>
    </row>
    <row r="46" spans="3:5" x14ac:dyDescent="0.35">
      <c r="C46" t="s">
        <v>28</v>
      </c>
      <c r="E46" s="10" t="s">
        <v>86</v>
      </c>
    </row>
    <row r="47" spans="3:5" x14ac:dyDescent="0.35">
      <c r="C47" t="s">
        <v>27</v>
      </c>
    </row>
    <row r="48" spans="3:5" x14ac:dyDescent="0.35">
      <c r="C48" t="s">
        <v>47</v>
      </c>
    </row>
    <row r="49" spans="3:4" x14ac:dyDescent="0.35">
      <c r="C49" t="s">
        <v>57</v>
      </c>
    </row>
    <row r="50" spans="3:4" x14ac:dyDescent="0.35">
      <c r="C50" t="s">
        <v>87</v>
      </c>
    </row>
    <row r="51" spans="3:4" x14ac:dyDescent="0.35">
      <c r="C51" t="s">
        <v>88</v>
      </c>
    </row>
    <row r="52" spans="3:4" x14ac:dyDescent="0.35">
      <c r="C52" t="s">
        <v>89</v>
      </c>
    </row>
    <row r="53" spans="3:4" x14ac:dyDescent="0.35">
      <c r="C53" t="s">
        <v>7</v>
      </c>
    </row>
    <row r="54" spans="3:4" x14ac:dyDescent="0.35">
      <c r="C54" t="s">
        <v>24</v>
      </c>
      <c r="D54" t="s">
        <v>90</v>
      </c>
    </row>
    <row r="55" spans="3:4" x14ac:dyDescent="0.35">
      <c r="C55" t="s">
        <v>43</v>
      </c>
    </row>
    <row r="56" spans="3:4" x14ac:dyDescent="0.35">
      <c r="C56" t="s">
        <v>50</v>
      </c>
    </row>
  </sheetData>
  <autoFilter ref="C2:E56">
    <sortState ref="C3:E56">
      <sortCondition ref="C3:C56"/>
    </sortState>
  </autoFilter>
  <sortState ref="C2:E56">
    <sortCondition ref="C2:C56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/>
  <dimension ref="A1:M22"/>
  <sheetViews>
    <sheetView topLeftCell="A4" workbookViewId="0">
      <selection activeCell="F8" sqref="F8"/>
    </sheetView>
  </sheetViews>
  <sheetFormatPr defaultColWidth="8.81640625" defaultRowHeight="14.5" x14ac:dyDescent="0.35"/>
  <cols>
    <col min="1" max="1" width="15.1796875" customWidth="1"/>
    <col min="2" max="3" width="12.81640625" customWidth="1"/>
    <col min="4" max="4" width="2.6328125" customWidth="1"/>
    <col min="5" max="5" width="15.453125" customWidth="1"/>
    <col min="6" max="6" width="11.81640625" bestFit="1" customWidth="1"/>
    <col min="7" max="7" width="2.6328125" customWidth="1"/>
    <col min="8" max="8" width="11" bestFit="1" customWidth="1"/>
    <col min="9" max="9" width="2.6328125" customWidth="1"/>
    <col min="10" max="10" width="11" customWidth="1"/>
    <col min="12" max="12" width="16.54296875" customWidth="1"/>
    <col min="13" max="13" width="13.81640625" customWidth="1"/>
  </cols>
  <sheetData>
    <row r="1" spans="1:13" x14ac:dyDescent="0.35">
      <c r="A1" t="s">
        <v>91</v>
      </c>
    </row>
    <row r="3" spans="1:13" ht="43.5" x14ac:dyDescent="0.35">
      <c r="A3" s="18" t="s">
        <v>120</v>
      </c>
      <c r="B3" s="18" t="s">
        <v>19</v>
      </c>
      <c r="C3" s="18" t="s">
        <v>20</v>
      </c>
      <c r="D3" s="18"/>
      <c r="E3" s="19" t="s">
        <v>122</v>
      </c>
      <c r="F3" s="18" t="s">
        <v>114</v>
      </c>
      <c r="G3" s="18"/>
      <c r="H3" s="19" t="s">
        <v>119</v>
      </c>
      <c r="I3" s="18"/>
      <c r="J3" s="31" t="s">
        <v>298</v>
      </c>
      <c r="K3" s="18"/>
      <c r="L3" s="17" t="s">
        <v>118</v>
      </c>
      <c r="M3" s="17" t="s">
        <v>121</v>
      </c>
    </row>
    <row r="4" spans="1:13" x14ac:dyDescent="0.35">
      <c r="A4" t="s">
        <v>92</v>
      </c>
      <c r="B4" s="4">
        <f>SUMIFS(REGISTO_2025!$N:$N,REGISTO_2025!$A:$A,"&gt;=01-01-2025",REGISTO_2025!$A:$A,"&lt;=31-01-2025")</f>
        <v>0</v>
      </c>
      <c r="C4" s="4">
        <f>SUMIFS(REGISTO_2025!O:O,REGISTO_2025!A:A,"&gt;=01-01-2025",REGISTO_2025!A:A,"&lt;=31-01-2025")</f>
        <v>40.004999999999995</v>
      </c>
      <c r="E4" s="27">
        <f>B4-C4</f>
        <v>-40.004999999999995</v>
      </c>
      <c r="J4" s="4">
        <f>SUMIFS(REGISTO_2025!$I:$I,REGISTO_2025!$A:$A,"&gt;=01-01-2025",REGISTO_2025!$A:$A,"&lt;=31-01-2025")</f>
        <v>0</v>
      </c>
      <c r="L4" s="4">
        <f>SUMIFS(REGISTO_2025!$F:$F,REGISTO_2025!$A:$A,"&gt;=01-01-2025",REGISTO_2025!$A:$A,"&lt;=31-01-2025",REGISTO_2025!$B:$B,"Refeição")*10%</f>
        <v>0</v>
      </c>
      <c r="M4" s="4">
        <f>SUMIFS(REGISTO_2025!$F:$F,REGISTO_2025!$A:$A,"&gt;=01-01-2025",REGISTO_2025!$A:$A,"&lt;=31-01-2025",REGISTO_2025!$B:$B,"Gasóleo")*10%</f>
        <v>6.883</v>
      </c>
    </row>
    <row r="5" spans="1:13" x14ac:dyDescent="0.35">
      <c r="A5" t="s">
        <v>93</v>
      </c>
      <c r="B5" s="4">
        <f>SUMIFS(REGISTO_2025!$N:$N,REGISTO_2025!$A:$A,"&gt;=01-02-2025",REGISTO_2025!$A:$A,"&lt;=28-02-2025")</f>
        <v>1019.106</v>
      </c>
      <c r="C5" s="4">
        <f>SUMIFS(REGISTO_2025!$O:$O,REGISTO_2025!$A:$A,"&gt;=01-02-2025",REGISTO_2025!$A:$A,"&lt;=28-02-2025")</f>
        <v>29.837000000000003</v>
      </c>
      <c r="E5" s="27">
        <f>B5-C5</f>
        <v>989.26900000000001</v>
      </c>
      <c r="F5" s="6"/>
      <c r="H5" s="6"/>
      <c r="J5" s="4">
        <f>SUMIFS(REGISTO_2025!$I:$I,REGISTO_2025!$A:$A,"&gt;=01-02-2025",REGISTO_2025!$A:$A,"&lt;=28-02-2025")</f>
        <v>0</v>
      </c>
      <c r="L5" s="4">
        <f>SUMIFS(REGISTO_2025!$F:$F,REGISTO_2025!$A:$A,"&gt;=01-02-2025",REGISTO_2025!$A:$A,"&lt;=28-02-2025",REGISTO_2025!$B:$B,"Refeição")*10%</f>
        <v>6.9460000000000015</v>
      </c>
      <c r="M5" s="4">
        <f>SUMIFS(REGISTO_2025!$F:$F,REGISTO_2025!$A:$A,"&gt;=01-02-2025",REGISTO_2025!$A:$A,"&lt;=28-02-2025",REGISTO_2025!$B:$B,"Gasóleo")*10%</f>
        <v>4.8620000000000001</v>
      </c>
    </row>
    <row r="6" spans="1:13" ht="15" thickBot="1" x14ac:dyDescent="0.4">
      <c r="A6" t="s">
        <v>94</v>
      </c>
      <c r="B6" s="4">
        <f>SUMIFS(REGISTO_2025!$N:$N,REGISTO_2025!$A:$A,"&gt;=01-03-2025",REGISTO_2025!$A:$A,"&lt;=31-03-2025")</f>
        <v>285.43</v>
      </c>
      <c r="C6" s="4">
        <f>SUMIFS(REGISTO_2025!$O:$O,REGISTO_2025!$A:$A,"&gt;=01-03-2025",REGISTO_2025!$A:$A,"&lt;=31-03-2025")</f>
        <v>83.575000000000003</v>
      </c>
      <c r="E6" s="27">
        <f t="shared" ref="E6:E18" si="0">B6-C6</f>
        <v>201.85500000000002</v>
      </c>
      <c r="H6" s="6"/>
      <c r="J6" s="4">
        <f>SUMIFS(REGISTO_2025!$I:$I,REGISTO_2025!$A:$A,"&gt;=01-03-2025",REGISTO_2025!$A:$A,"&lt;=31-03-2025")</f>
        <v>0</v>
      </c>
      <c r="L6" s="4">
        <f>SUMIFS(REGISTO_2025!$F:$F,REGISTO_2025!$A:$A,"&gt;=01-03-2025",REGISTO_2025!$A:$A,"&lt;=31-03-2025",REGISTO_2025!$B:$B,"Refeição")*10%</f>
        <v>9.266</v>
      </c>
      <c r="M6" s="4">
        <f>SUMIFS(REGISTO_2025!$F:$F,REGISTO_2025!$A:$A,"&gt;=01-03-2025",REGISTO_2025!$A:$A,"&lt;=31-03-2025",REGISTO_2025!$B:$B,"Gasóleo")*10%</f>
        <v>0</v>
      </c>
    </row>
    <row r="7" spans="1:13" ht="15.5" thickTop="1" thickBot="1" x14ac:dyDescent="0.4">
      <c r="A7" s="38" t="s">
        <v>110</v>
      </c>
      <c r="B7" s="38"/>
      <c r="C7" s="38"/>
      <c r="D7" s="38"/>
      <c r="E7" s="28">
        <f>SUM(E4:E6)</f>
        <v>1151.1190000000001</v>
      </c>
      <c r="F7" s="30">
        <v>285.43</v>
      </c>
      <c r="H7" s="30">
        <f>IF(AND(E7&lt;&gt;"",F7&lt;&gt;""),F7-E7,0)</f>
        <v>-865.68900000000008</v>
      </c>
      <c r="J7" s="30">
        <f>SUM(J4:J6)</f>
        <v>0</v>
      </c>
      <c r="L7" s="4"/>
      <c r="M7" s="4"/>
    </row>
    <row r="8" spans="1:13" ht="15" thickTop="1" x14ac:dyDescent="0.35">
      <c r="A8" t="s">
        <v>95</v>
      </c>
      <c r="B8" s="4">
        <f>SUMIFS(REGISTO_2025!$N:$N,REGISTO_2025!$A:$A,"&gt;=01-04-2025",REGISTO_2025!$A:$A,"&lt;=30-04-2025")</f>
        <v>0</v>
      </c>
      <c r="C8" s="4">
        <f>SUMIFS(REGISTO_2025!$O:$O,REGISTO_2025!$A:$A,"&gt;=01-04-2025",REGISTO_2025!$A:$A,"&lt;=30-04-2025")-(SUMIFS(REGISTO_2025!$O:$O,REGISTO_2025!$A:$A,"&gt;=01-04-2025",REGISTO_2025!$A:$A,"&lt;=30-04-2025",REGISTO_2025!$B:$B,"Refeição")+SUMIFS(REGISTO_2025!$O:$O,REGISTO_2025!$A:$A,"&gt;=01-04-2025",REGISTO_2025!$A:$A,"&lt;=30-04-2025",REGISTO_2025!$B:$B,"Gasóleo")+SUMIFS(REGISTO_2025!$O:$O,REGISTO_2025!$A:$A,"&gt;=01-04-2025",REGISTO_2025!$A:$A,"&lt;=30-04-2025",REGISTO_2025!$B:$B,"Portagens e estacionamentos"))</f>
        <v>27.125999999999991</v>
      </c>
      <c r="E8" s="27">
        <f t="shared" si="0"/>
        <v>-27.125999999999991</v>
      </c>
      <c r="H8" s="6"/>
      <c r="J8" s="4">
        <f>SUMIFS(REGISTO_2025!$I:$I,REGISTO_2025!$A:$A,"&gt;=01-04-2025",REGISTO_2025!$A:$A,"&lt;=30-04-2025")</f>
        <v>0</v>
      </c>
      <c r="L8" s="4">
        <f>SUMIFS(REGISTO_2025!$F:$F,REGISTO_2025!$A:$A,"&gt;=01-04-2025",REGISTO_2025!$A:$A,"&lt;=30-04-2025",REGISTO_2025!$B:$B,"Refeição")*10%</f>
        <v>11.033000000000001</v>
      </c>
      <c r="M8" s="4">
        <f>SUMIFS(REGISTO_2025!$F:$F,REGISTO_2025!$A:$A,"&gt;=01-04-2025",REGISTO_2025!$A:$A,"&lt;=30-04-2025",REGISTO_2025!$B:$B,"Gasóleo")*10%</f>
        <v>0</v>
      </c>
    </row>
    <row r="9" spans="1:13" x14ac:dyDescent="0.35">
      <c r="A9" t="s">
        <v>96</v>
      </c>
      <c r="B9" s="4">
        <f>SUMIFS(REGISTO_2025!$N:$N,REGISTO_2025!$A:$A,"&gt;=01-05-2025",REGISTO_2025!$A:$A,"&lt;=31-05-2025")</f>
        <v>0</v>
      </c>
      <c r="C9" s="4">
        <f>SUMIFS(REGISTO_2025!$O:$O,REGISTO_2025!$A:$A,"&gt;=01-05-2025",REGISTO_2025!$A:$A,"&lt;=31-05-2025")-(SUMIFS(REGISTO_2025!$O:$O,REGISTO_2025!$A:$A,"&gt;=01-05-2025",REGISTO_2025!$A:$A,"&lt;=31-05-2025",REGISTO_2025!$B:$B,"Refeição")+SUMIFS(REGISTO_2025!$O:$O,REGISTO_2025!$A:$A,"&gt;=01-05-2025",REGISTO_2025!$A:$A,"&lt;=31-05-2025",REGISTO_2025!$B:$B,"Gasóleo")+SUMIFS(REGISTO_2025!$O:$O,REGISTO_2025!$A:$A,"&gt;=01-05-2025",REGISTO_2025!$A:$A,"&lt;=31-05-2025",REGISTO_2025!$B:$B,"Portagens e estacionamentos"))</f>
        <v>3.4759999999999991</v>
      </c>
      <c r="E9" s="27">
        <f t="shared" si="0"/>
        <v>-3.4759999999999991</v>
      </c>
      <c r="F9" s="6"/>
      <c r="H9" s="6"/>
      <c r="J9" s="4">
        <f>SUMIFS(REGISTO_2025!$I:$I,REGISTO_2025!$A:$A,"&gt;=01-05-2025",REGISTO_2025!$A:$A,"&lt;=31-05-2025")</f>
        <v>0</v>
      </c>
      <c r="L9" s="4">
        <f>SUMIFS(REGISTO_2025!$F:$F,REGISTO_2025!$A:$A,"&gt;=01-05-2025",REGISTO_2025!$A:$A,"&lt;=31-05-2025",REGISTO_2025!$B:$B,"Refeição")*10%</f>
        <v>9.1340000000000003</v>
      </c>
      <c r="M9" s="4">
        <f>SUMIFS(REGISTO_2025!$F:$F,REGISTO_2025!$A:$A,"&gt;=01-05-2025",REGISTO_2025!$A:$A,"&lt;=31-05-2025",REGISTO_2025!$B:$B,"Gasóleo")*10%</f>
        <v>0</v>
      </c>
    </row>
    <row r="10" spans="1:13" ht="15" thickBot="1" x14ac:dyDescent="0.4">
      <c r="A10" t="s">
        <v>97</v>
      </c>
      <c r="B10" s="4">
        <f>SUMIFS(REGISTO_2025!$N:$N,REGISTO_2025!$A:$A,"&gt;=01-06-2025",REGISTO_2025!$A:$A,"&lt;=30-06-2025")</f>
        <v>537.04999999999995</v>
      </c>
      <c r="C10" s="4">
        <f>SUMIFS(REGISTO_2025!$O:$O,REGISTO_2025!$A:$A,"&gt;=01-06-2025",REGISTO_2025!$A:$A,"&lt;=30-06-2025")-(SUMIFS(REGISTO_2025!$O:$O,REGISTO_2025!$A:$A,"&gt;=01-06-2025",REGISTO_2025!$A:$A,"&lt;=30-06-2025",REGISTO_2025!$B:$B,"Refeição")+SUMIFS(REGISTO_2025!$O:$O,REGISTO_2025!$A:$A,"&gt;=01-06-2025",REGISTO_2025!$A:$A,"&lt;=30-06-2025",REGISTO_2025!$B:$B,"Gasóleo")+SUMIFS(REGISTO_2025!$O:$O,REGISTO_2025!$A:$A,"&gt;=01-06-2025",REGISTO_2025!$A:$A,"&lt;=30-06-2025",REGISTO_2025!$B:$B,"Portagens e estacionamentos"))</f>
        <v>49.335999999999999</v>
      </c>
      <c r="E10" s="27">
        <f t="shared" si="0"/>
        <v>487.71399999999994</v>
      </c>
      <c r="H10" s="6"/>
      <c r="J10" s="4">
        <f>SUMIFS(REGISTO_2025!$I:$I,REGISTO_2025!$A:$A,"&gt;=01-06-2025",REGISTO_2025!$A:$A,"&lt;=30-06-2025")</f>
        <v>0</v>
      </c>
      <c r="L10" s="4">
        <f>SUMIFS(REGISTO_2025!$F:$F,REGISTO_2025!$A:$A,"&gt;=01-06-2025",REGISTO_2025!$A:$A,"&lt;=30-06-2025",REGISTO_2025!$B:$B,"Refeição")*10%</f>
        <v>9.0350000000000001</v>
      </c>
      <c r="M10" s="4">
        <f>SUMIFS(REGISTO_2025!$F:$F,REGISTO_2025!$A:$A,"&gt;=01-06-2025",REGISTO_2025!$A:$A,"&lt;=30-06-2025",REGISTO_2025!$B:$B,"Gasóleo")*10%</f>
        <v>0</v>
      </c>
    </row>
    <row r="11" spans="1:13" ht="15.5" thickTop="1" thickBot="1" x14ac:dyDescent="0.4">
      <c r="A11" s="38" t="s">
        <v>111</v>
      </c>
      <c r="B11" s="38"/>
      <c r="C11" s="38"/>
      <c r="D11" s="38"/>
      <c r="E11" s="28">
        <f>SUM(E8:E10)</f>
        <v>457.11199999999997</v>
      </c>
      <c r="F11" s="30">
        <v>537.04999999999995</v>
      </c>
      <c r="H11" s="30">
        <f>IF(AND(E11&lt;&gt;"",F11&lt;&gt;""),F11-E11,0)</f>
        <v>79.937999999999988</v>
      </c>
      <c r="J11" s="30">
        <f>SUM(J8:J10)</f>
        <v>0</v>
      </c>
      <c r="L11" s="4"/>
      <c r="M11" s="4"/>
    </row>
    <row r="12" spans="1:13" ht="15" thickTop="1" x14ac:dyDescent="0.35">
      <c r="A12" t="s">
        <v>98</v>
      </c>
      <c r="B12" s="4">
        <f>SUMIFS(REGISTO_2025!$N:$N,REGISTO_2025!$A:$A,"&gt;=01-07-2025",REGISTO_2025!$A:$A,"&lt;=31-07-2025")</f>
        <v>764.92200000000003</v>
      </c>
      <c r="C12" s="4">
        <f>SUMIFS(REGISTO_2025!$O:$O,REGISTO_2025!$A:$A,"&gt;=01-07-2025",REGISTO_2025!$A:$A,"&lt;=31-07-2025")-(SUMIFS(REGISTO_2025!$O:$O,REGISTO_2025!$A:$A,"&gt;=01-07-2025",REGISTO_2025!$A:$A,"&lt;=31-07-2025",REGISTO_2025!$B:$B,"Refeição")+SUMIFS(REGISTO_2025!$O:$O,REGISTO_2025!$A:$A,"&gt;=01-07-2025",REGISTO_2025!$A:$A,"&lt;=31-07-2025",REGISTO_2025!$B:$B,"Gasóleo")+SUMIFS(REGISTO_2025!$O:$O,REGISTO_2025!$A:$A,"&gt;=01-07-2025",REGISTO_2025!$A:$A,"&lt;=31-07-2025",REGISTO_2025!$B:$B,"Portagens e estacionamentos"))</f>
        <v>648.65599999999995</v>
      </c>
      <c r="E12" s="27">
        <f t="shared" si="0"/>
        <v>116.26600000000008</v>
      </c>
      <c r="H12" s="6"/>
      <c r="J12" s="4">
        <f>SUMIFS(REGISTO_2025!$I:$I,REGISTO_2025!$A:$A,"&gt;=01-07-2025",REGISTO_2025!$A:$A,"&lt;=31-07-2025")</f>
        <v>598</v>
      </c>
      <c r="L12" s="4">
        <f>SUMIFS(REGISTO_2025!$F:$F,REGISTO_2025!$A:$A,"&gt;=01-07-2025",REGISTO_2025!$A:$A,"&lt;=31/07-2025",REGISTO_2025!$B:$B,"Refeição")*10%</f>
        <v>10.210000000000001</v>
      </c>
      <c r="M12" s="4">
        <f>SUMIFS(REGISTO_2025!$F:$F,REGISTO_2025!$A:$A,"&gt;=01-07-2025",REGISTO_2025!$A:$A,"&lt;=31/07-2025",REGISTO_2025!$B:$B,"Gasóleo")*10%</f>
        <v>0</v>
      </c>
    </row>
    <row r="13" spans="1:13" x14ac:dyDescent="0.35">
      <c r="A13" t="s">
        <v>99</v>
      </c>
      <c r="B13" s="4">
        <f>SUMIFS(REGISTO_2025!$N:$N,REGISTO_2025!$A:$A,"&gt;=01-08-2025",REGISTO_2025!$A:$A,"&lt;=31-08-2025")</f>
        <v>1761.5659999999998</v>
      </c>
      <c r="C13" s="4">
        <f>SUMIFS(REGISTO_2025!$O:$O,REGISTO_2025!$A:$A,"&gt;=01-08-2025",REGISTO_2025!$A:$A,"&lt;=31-08-2025")-(SUMIFS(REGISTO_2025!$O:$O,REGISTO_2025!$A:$A,"&gt;=01-08-2025",REGISTO_2025!$A:$A,"&lt;=31-08-2025",REGISTO_2025!$B:$B,"Refeição")+SUMIFS(REGISTO_2025!$O:$O,REGISTO_2025!$A:$A,"&gt;=01-08-2025",REGISTO_2025!$A:$A,"&lt;=31-08-2025",REGISTO_2025!$B:$B,"Gasóleo")+SUMIFS(REGISTO_2025!$O:$O,REGISTO_2025!$A:$A,"&gt;=01-08-2025",REGISTO_2025!$A:$A,"&lt;=31-08-2025",REGISTO_2025!$B:$B,"Portagens e estacionamentos"))</f>
        <v>1511.6780000000001</v>
      </c>
      <c r="E13" s="27">
        <f t="shared" si="0"/>
        <v>249.88799999999969</v>
      </c>
      <c r="F13" s="6"/>
      <c r="H13" s="6"/>
      <c r="J13" s="4">
        <f>SUMIFS(REGISTO_2025!$I:$I,REGISTO_2025!$A:$A,"&gt;=01-08-2025",REGISTO_2025!$A:$A,"&lt;=31-08-2025")</f>
        <v>1318.8200000000002</v>
      </c>
      <c r="L13" s="4">
        <f>SUMIFS(REGISTO_2025!$F:$F,REGISTO_2025!$A:$A,"&gt;=01-08-2025",REGISTO_2025!$A:$A,"&lt;=31-08-2025",REGISTO_2025!$B:$B,"Refeição")*10%</f>
        <v>11.083</v>
      </c>
      <c r="M13" s="4">
        <f>SUMIFS(REGISTO_2025!$F:$F,REGISTO_2025!$A:$A,"&gt;=01-08-2025",REGISTO_2025!$A:$A,"&lt;=31-08-2025",REGISTO_2025!$B:$B,"Gasóleo")*10%</f>
        <v>0</v>
      </c>
    </row>
    <row r="14" spans="1:13" ht="15" thickBot="1" x14ac:dyDescent="0.4">
      <c r="A14" t="s">
        <v>100</v>
      </c>
      <c r="B14" s="4">
        <f>SUMIFS(REGISTO_2025!$N:$N,REGISTO_2025!$A:$A,"&gt;=01-09-2025",REGISTO_2025!$A:$A,"&lt;=30-09-2025")</f>
        <v>778.37899999999991</v>
      </c>
      <c r="C14" s="4">
        <f>SUMIFS(REGISTO_2025!$O:$O,REGISTO_2025!$A:$A,"&gt;=01-09-2025",REGISTO_2025!$A:$A,"&lt;=30-09-2025")-(SUMIFS(REGISTO_2025!$O:$O,REGISTO_2025!$A:$A,"&gt;=01-09-2025",REGISTO_2025!$A:$A,"&lt;=30-09-2025",REGISTO_2025!$B:$B,"Refeição")+SUMIFS(REGISTO_2025!$O:$O,REGISTO_2025!$A:$A,"&gt;=01-09-2025",REGISTO_2025!$A:$A,"&lt;=30-09-2025",REGISTO_2025!$B:$B,"Gasóleo")+SUMIFS(REGISTO_2025!$O:$O,REGISTO_2025!$A:$A,"&gt;=01-09-2025",REGISTO_2025!$A:$A,"&lt;=30-09-2025",REGISTO_2025!$B:$B,"Portagens e estacionamentos"))</f>
        <v>495.14400000000001</v>
      </c>
      <c r="E14" s="27">
        <f t="shared" si="0"/>
        <v>283.2349999999999</v>
      </c>
      <c r="H14" s="6"/>
      <c r="J14" s="4">
        <f>SUMIFS(REGISTO_2025!$I:$I,REGISTO_2025!$A:$A,"&gt;=01-09-2025",REGISTO_2025!$A:$A,"&lt;=30-09-2025")</f>
        <v>488.24</v>
      </c>
      <c r="L14" s="4">
        <f>SUMIFS(REGISTO_2025!$F:$F,REGISTO_2025!$A:$A,"&gt;=01-09-2025",REGISTO_2025!$A:$A,"&lt;=30-09-2025",REGISTO_2025!$B:$B,"Refeição")*10%</f>
        <v>4.6290000000000004</v>
      </c>
      <c r="M14" s="4">
        <f>SUMIFS(REGISTO_2025!$F:$F,REGISTO_2025!$A:$A,"&gt;=01-09-2025",REGISTO_2025!$A:$A,"&lt;=30-09-2025",REGISTO_2025!$B:$B,"Gasóleo")*10%</f>
        <v>0</v>
      </c>
    </row>
    <row r="15" spans="1:13" ht="15.5" thickTop="1" thickBot="1" x14ac:dyDescent="0.4">
      <c r="A15" s="38" t="s">
        <v>112</v>
      </c>
      <c r="B15" s="38"/>
      <c r="C15" s="38"/>
      <c r="D15" s="38"/>
      <c r="E15" s="28">
        <f>SUM(E12:E14)</f>
        <v>649.38899999999967</v>
      </c>
      <c r="F15" s="30"/>
      <c r="H15" s="30">
        <f>IF(AND(E15&lt;&gt;"",F15&lt;&gt;""),F15-E15,0)</f>
        <v>0</v>
      </c>
      <c r="J15" s="30">
        <f>SUM(J12:J14)</f>
        <v>2405.0600000000004</v>
      </c>
      <c r="L15" s="4"/>
      <c r="M15" s="4"/>
    </row>
    <row r="16" spans="1:13" ht="15" thickTop="1" x14ac:dyDescent="0.35">
      <c r="A16" t="s">
        <v>101</v>
      </c>
      <c r="B16" s="4">
        <f>SUMIFS(REGISTO_2025!$N:$N,REGISTO_2025!$A:$A,"&gt;=01-10-2025",REGISTO_2025!$A:$A,"&lt;=31-10-2025")</f>
        <v>0</v>
      </c>
      <c r="C16" s="4">
        <f>SUMIFS(REGISTO_2025!$O:$O,REGISTO_2025!$A:$A,"&gt;=01-10-2025",REGISTO_2025!$A:$A,"&lt;=31-10-2025")-(SUMIFS(REGISTO_2025!$O:$O,REGISTO_2025!$A:$A,"&gt;=01-10-2025",REGISTO_2025!$A:$A,"&lt;=31-10-2025",REGISTO_2025!$B:$B,"Refeição")+SUMIFS(REGISTO_2025!$O:$O,REGISTO_2025!$A:$A,"&gt;=01-10-2025",REGISTO_2025!$A:$A,"&lt;=31-10-2025",REGISTO_2025!$B:$B,"Gasóleo")+SUMIFS(REGISTO_2025!$O:$O,REGISTO_2025!$A:$A,"&gt;=01-10-2025",REGISTO_2025!$A:$A,"&lt;=31-10-2025",REGISTO_2025!$B:$B,"Portagens e estacionamentos"))</f>
        <v>12.827</v>
      </c>
      <c r="E16" s="27">
        <f t="shared" si="0"/>
        <v>-12.827</v>
      </c>
      <c r="H16" s="6"/>
      <c r="J16" s="4">
        <f>SUMIFS(REGISTO_2025!$I:$I,REGISTO_2025!$A:$A,"&gt;=01-10-2025",REGISTO_2025!$A:$A,"&lt;=31-10-2025")</f>
        <v>0</v>
      </c>
      <c r="L16" s="4">
        <f>SUMIFS(REGISTO_2025!$F:$F,REGISTO_2025!$A:$A,"&gt;=01-10-2025",REGISTO_2025!$A:$A,"&lt;=31-10-2025",REGISTO_2025!$B:$B,"Refeição")*10%</f>
        <v>0</v>
      </c>
      <c r="M16" s="4">
        <f>SUMIFS(REGISTO_2025!$F:$F,REGISTO_2025!$A:$A,"&gt;=01-10-2025",REGISTO_2025!$A:$A,"&lt;=31-10-2025",REGISTO_2025!$B:$B,"Gasóleo")*10%</f>
        <v>0</v>
      </c>
    </row>
    <row r="17" spans="1:13" x14ac:dyDescent="0.35">
      <c r="A17" t="s">
        <v>102</v>
      </c>
      <c r="B17" s="4">
        <f>SUMIFS(REGISTO_2025!$N:$N,REGISTO_2025!$A:$A,"&gt;=01-11-2025",REGISTO_2025!$A:$A,"&lt;=30-11-2025")</f>
        <v>0</v>
      </c>
      <c r="C17" s="4">
        <f>SUMIFS(REGISTO_2025!$O:$O,REGISTO_2025!$A:$A,"&gt;=01-11-2025",REGISTO_2025!$A:$A,"&lt;=30-11-2025")-(SUMIFS(REGISTO_2025!$O:$O,REGISTO_2025!$A:$A,"&gt;=01-11-2025",REGISTO_2025!$A:$A,"&lt;=30-11-2025",REGISTO_2025!$B:$B,"Refeição")+SUMIFS(REGISTO_2025!$O:$O,REGISTO_2025!$A:$A,"&gt;=01-11-2025",REGISTO_2025!$A:$A,"&lt;=30-11-2025",REGISTO_2025!$B:$B,"Gasóleo")+SUMIFS(REGISTO_2025!$O:$O,REGISTO_2025!$A:$A,"&gt;=01-11-2025",REGISTO_2025!$A:$A,"&lt;=30-11-2025",REGISTO_2025!$B:$B,"Portagens e estacionamentos"))</f>
        <v>0</v>
      </c>
      <c r="E17" s="27">
        <f t="shared" si="0"/>
        <v>0</v>
      </c>
      <c r="F17" s="6"/>
      <c r="H17" s="6"/>
      <c r="J17" s="4">
        <f>SUMIFS(REGISTO_2025!$I:$I,REGISTO_2025!$A:$A,"&gt;=01-11-2025",REGISTO_2025!$A:$A,"&lt;=30-11-2025")</f>
        <v>0</v>
      </c>
      <c r="L17" s="4">
        <f>SUMIFS(REGISTO_2025!$F:$F,REGISTO_2025!$A:$A,"&gt;=01-11-2025",REGISTO_2025!$A:$A,"&lt;=30-11-2025",REGISTO_2025!$B:$B,"Refeição")*10%</f>
        <v>0</v>
      </c>
      <c r="M17" s="4">
        <f>SUMIFS(REGISTO_2025!$F:$F,REGISTO_2025!$A:$A,"&gt;=01-11-2025",REGISTO_2025!$A:$A,"&lt;=30-11-2025",REGISTO_2025!$B:$B,"Gasóleo")*10%</f>
        <v>0</v>
      </c>
    </row>
    <row r="18" spans="1:13" ht="15" thickBot="1" x14ac:dyDescent="0.4">
      <c r="A18" t="s">
        <v>103</v>
      </c>
      <c r="B18" s="4">
        <f>SUMIFS(REGISTO_2025!$N:$N,REGISTO_2025!$A:$A,"&gt;=01-12-2025",REGISTO_2025!$A:$A,"&lt;=31-12-2025")</f>
        <v>0</v>
      </c>
      <c r="C18" s="4">
        <f>SUMIFS(REGISTO_2025!$O:$O,REGISTO_2025!$A:$A,"&gt;=01-12-2025",REGISTO_2025!$A:$A,"&lt;=31-12-2025")-(SUMIFS(REGISTO_2025!$O:$O,REGISTO_2025!$A:$A,"&gt;=01-12-2025",REGISTO_2025!$A:$A,"&lt;=31-12-2025",REGISTO_2025!$B:$B,"Refeição")+SUMIFS(REGISTO_2025!$O:$O,REGISTO_2025!$A:$A,"&gt;=01-12-2025",REGISTO_2025!$A:$A,"&lt;=31-12-2025",REGISTO_2025!$B:$B,"Gasóleo")+SUMIFS(REGISTO_2025!$O:$O,REGISTO_2025!$A:$A,"&gt;=01-12-2025",REGISTO_2025!$A:$A,"&lt;=31-12-2025",REGISTO_2025!$B:$B,"Portagens e estacionamentos"))</f>
        <v>0</v>
      </c>
      <c r="E18" s="27">
        <f t="shared" si="0"/>
        <v>0</v>
      </c>
      <c r="H18" s="6"/>
      <c r="J18" s="4">
        <f>SUMIFS(REGISTO_2025!$I:$I,REGISTO_2025!$A:$A,"&gt;=01-12-2025",REGISTO_2025!$A:$A,"&lt;=31-12-2025")</f>
        <v>0</v>
      </c>
      <c r="L18" s="4">
        <f>SUMIFS(REGISTO_2025!$F:$F,REGISTO_2025!$A:$A,"&gt;=01-12-2025",REGISTO_2025!$A:$A,"&lt;=31-12-2025",REGISTO_2025!$B:$B,"Refeição")*10%</f>
        <v>0</v>
      </c>
      <c r="M18" s="4">
        <f>SUMIFS(REGISTO_2025!$F:$F,REGISTO_2025!$A:$A,"&gt;=01-12-2025",REGISTO_2025!$A:$A,"&lt;=31-12-2025",REGISTO_2025!$B:$B,"Gasóleo")*10%</f>
        <v>0</v>
      </c>
    </row>
    <row r="19" spans="1:13" ht="15.5" thickTop="1" thickBot="1" x14ac:dyDescent="0.4">
      <c r="A19" s="38" t="s">
        <v>113</v>
      </c>
      <c r="B19" s="38"/>
      <c r="C19" s="38"/>
      <c r="D19" s="38"/>
      <c r="E19" s="28">
        <f>SUM(E16:E18)</f>
        <v>-12.827</v>
      </c>
      <c r="F19" s="30"/>
      <c r="H19" s="30">
        <f>IF(AND(E19&lt;&gt;"",F19&lt;&gt;""),F19-E19,0)</f>
        <v>0</v>
      </c>
      <c r="J19" s="30">
        <f>SUM(J16:J18)</f>
        <v>0</v>
      </c>
      <c r="L19" s="4"/>
      <c r="M19" s="4"/>
    </row>
    <row r="20" spans="1:13" ht="15.5" thickTop="1" thickBot="1" x14ac:dyDescent="0.4">
      <c r="E20" s="27"/>
      <c r="L20" s="4"/>
      <c r="M20" s="4"/>
    </row>
    <row r="21" spans="1:13" ht="19.5" thickTop="1" thickBot="1" x14ac:dyDescent="0.5">
      <c r="A21" s="39" t="s">
        <v>142</v>
      </c>
      <c r="B21" s="39"/>
      <c r="C21" s="39"/>
      <c r="D21" s="39"/>
      <c r="E21" s="29">
        <f>SUM(E19,E15,E11,E7)</f>
        <v>2244.7929999999997</v>
      </c>
      <c r="F21" s="16">
        <f>SUM(F19,F15,F11,F7)</f>
        <v>822.48</v>
      </c>
      <c r="L21" s="16">
        <f>SUM(L4:L18)</f>
        <v>71.336000000000013</v>
      </c>
      <c r="M21" s="16">
        <f>SUM(M4:M18)</f>
        <v>11.745000000000001</v>
      </c>
    </row>
    <row r="22" spans="1:13" ht="15" thickTop="1" x14ac:dyDescent="0.35"/>
  </sheetData>
  <mergeCells count="5">
    <mergeCell ref="A7:D7"/>
    <mergeCell ref="A11:D11"/>
    <mergeCell ref="A15:D15"/>
    <mergeCell ref="A19:D19"/>
    <mergeCell ref="A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Folha1</vt:lpstr>
      <vt:lpstr>REGISTO_2025</vt:lpstr>
      <vt:lpstr>AUXILIAR</vt:lpstr>
      <vt:lpstr>APURAMENTOS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Machado</dc:creator>
  <cp:keywords/>
  <dc:description/>
  <cp:lastModifiedBy>Sara Machado</cp:lastModifiedBy>
  <cp:revision/>
  <dcterms:created xsi:type="dcterms:W3CDTF">2023-01-09T11:50:36Z</dcterms:created>
  <dcterms:modified xsi:type="dcterms:W3CDTF">2025-10-09T07:23:44Z</dcterms:modified>
  <cp:category/>
  <cp:contentStatus/>
</cp:coreProperties>
</file>